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1700" tabRatio="773" activeTab="1"/>
  </bookViews>
  <sheets>
    <sheet name="Fiche de renseignements compéti" sheetId="1" r:id="rId1"/>
    <sheet name="Terrain 1" sheetId="2" r:id="rId2"/>
    <sheet name="Terrain 2" sheetId="3" r:id="rId3"/>
    <sheet name="Groupe A" sheetId="4" r:id="rId4"/>
    <sheet name="Groupe B" sheetId="5" r:id="rId5"/>
    <sheet name="Féminines" sheetId="6" r:id="rId6"/>
    <sheet name="Classement" sheetId="7" r:id="rId7"/>
  </sheets>
  <externalReferences>
    <externalReference r:id="rId10"/>
  </externalReferences>
  <definedNames>
    <definedName name="_xlfn.IFERROR" hidden="1">#NAME?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match">'Fiche de renseignements compéti'!$C$8</definedName>
    <definedName name="EQ1A">'Fiche de renseignements compéti'!$B$14</definedName>
    <definedName name="EQ1B">'Fiche de renseignements compéti'!$B$15</definedName>
    <definedName name="EQ1C">'Fiche de renseignements compéti'!$B$16</definedName>
    <definedName name="EQ1D">'Fiche de renseignements compéti'!$B$17</definedName>
    <definedName name="EQ1E">'Fiche de renseignements compéti'!$B$18</definedName>
    <definedName name="EQ1F">'Fiche de renseignements compéti'!$B$19</definedName>
    <definedName name="EQ1G">'Fiche de renseignements compéti'!$B$20</definedName>
    <definedName name="EQ1H">'Fiche de renseignements compéti'!$B$21</definedName>
    <definedName name="EQ2A">'Fiche de renseignements compéti'!$B$22</definedName>
    <definedName name="EQ2B">'Fiche de renseignements compéti'!$B$23</definedName>
    <definedName name="EQ2C">'Fiche de renseignements compéti'!$B$26</definedName>
    <definedName name="EQ2D">'Fiche de renseignements compéti'!$B$27</definedName>
    <definedName name="EQ2E">'Fiche de renseignements compéti'!$B$28</definedName>
    <definedName name="EQ2F">'Fiche de renseignements compéti'!$B$29</definedName>
    <definedName name="EQ2G">'Fiche de renseignements compéti'!$B$30</definedName>
    <definedName name="EQ2H">'Fiche de renseignements compéti'!$B$31</definedName>
    <definedName name="EQFA">'Fiche de renseignements compéti'!$B$35</definedName>
    <definedName name="EQFB">'Fiche de renseignements compéti'!$B$36</definedName>
    <definedName name="EQFC">'Fiche de renseignements compéti'!$B$37</definedName>
    <definedName name="EQFD">'Fiche de renseignements compéti'!$B$38</definedName>
    <definedName name="EQFE">'Fiche de renseignements compéti'!$B$39</definedName>
    <definedName name="EQFF">'Fiche de renseignements compéti'!$B$40</definedName>
    <definedName name="EQFG">'Fiche de renseignements compéti'!$B$43</definedName>
    <definedName name="EQFH">'Fiche de renseignements compéti'!$B$44</definedName>
    <definedName name="_xlnm.Print_Titles" localSheetId="1">'Terrain 1'!$1:$8</definedName>
    <definedName name="_xlnm.Print_Titles" localSheetId="2">'Terrain 2'!$1:$8</definedName>
    <definedName name="lieu">'Fiche de renseignements compéti'!$C$7</definedName>
    <definedName name="m2_p26">'[1]poules'!$O$28</definedName>
    <definedName name="m2_p27">'[1]poules'!$O$27</definedName>
    <definedName name="NombreMatchsPauseRepas">'Fiche de renseignements compéti'!$D$47</definedName>
    <definedName name="saison">'Fiche de renseignements compéti'!$C$4</definedName>
    <definedName name="_xlnm.Print_Area" localSheetId="6">'Classement'!$A$1:$D$17</definedName>
    <definedName name="_xlnm.Print_Area" localSheetId="5">'Féminines'!$A$1:$AI$39</definedName>
    <definedName name="_xlnm.Print_Area" localSheetId="3">'Groupe A'!$A$1:$AI$43</definedName>
    <definedName name="_xlnm.Print_Area" localSheetId="4">'Groupe B'!$A$1:$AI$37</definedName>
    <definedName name="_xlnm.Print_Area" localSheetId="2">'Terrain 2'!$A$1:$O$77</definedName>
  </definedNames>
  <calcPr fullCalcOnLoad="1"/>
</workbook>
</file>

<file path=xl/sharedStrings.xml><?xml version="1.0" encoding="utf-8"?>
<sst xmlns="http://schemas.openxmlformats.org/spreadsheetml/2006/main" count="751" uniqueCount="334">
  <si>
    <t>Horaires</t>
  </si>
  <si>
    <t>Noir</t>
  </si>
  <si>
    <t>Blanc</t>
  </si>
  <si>
    <t>Equipes Blanches</t>
  </si>
  <si>
    <t>Equipes Noires</t>
  </si>
  <si>
    <t>Rep</t>
  </si>
  <si>
    <t>N°</t>
  </si>
  <si>
    <t>Samedi</t>
  </si>
  <si>
    <t>1A</t>
  </si>
  <si>
    <t>2A</t>
  </si>
  <si>
    <t>2B</t>
  </si>
  <si>
    <t>1B</t>
  </si>
  <si>
    <t>Coté Gradins au départ</t>
  </si>
  <si>
    <t xml:space="preserve">  Coté vitres au départ</t>
  </si>
  <si>
    <t xml:space="preserve">      Score</t>
  </si>
  <si>
    <t xml:space="preserve">2A </t>
  </si>
  <si>
    <t>Réunion des Capitaines</t>
  </si>
  <si>
    <t>2C</t>
  </si>
  <si>
    <t>2D</t>
  </si>
  <si>
    <t>2E</t>
  </si>
  <si>
    <t>2H</t>
  </si>
  <si>
    <t>2G</t>
  </si>
  <si>
    <t>1E</t>
  </si>
  <si>
    <t>1G</t>
  </si>
  <si>
    <t>1C</t>
  </si>
  <si>
    <t>1H</t>
  </si>
  <si>
    <t>1D</t>
  </si>
  <si>
    <t>FA</t>
  </si>
  <si>
    <t>FB</t>
  </si>
  <si>
    <t>FC</t>
  </si>
  <si>
    <t>FD</t>
  </si>
  <si>
    <t>FE</t>
  </si>
  <si>
    <t>FF</t>
  </si>
  <si>
    <t>FG</t>
  </si>
  <si>
    <t>FH</t>
  </si>
  <si>
    <t>FP251</t>
  </si>
  <si>
    <t>FP250</t>
  </si>
  <si>
    <t>FG251</t>
  </si>
  <si>
    <t>FG250</t>
  </si>
  <si>
    <t>FP253</t>
  </si>
  <si>
    <t>FP252</t>
  </si>
  <si>
    <t>FG253</t>
  </si>
  <si>
    <t>FG252</t>
  </si>
  <si>
    <t>Saison</t>
  </si>
  <si>
    <t>Catégorie</t>
  </si>
  <si>
    <t>Date</t>
  </si>
  <si>
    <t>Lieu</t>
  </si>
  <si>
    <t xml:space="preserve">Durée des matchs </t>
  </si>
  <si>
    <t>2*11' +2' de mi-temps +1' temps mort par  équipe +3' inter-match = 29'</t>
  </si>
  <si>
    <t xml:space="preserve">Durée des matchs 
</t>
  </si>
  <si>
    <t>1F</t>
  </si>
  <si>
    <t>Saison :</t>
  </si>
  <si>
    <t xml:space="preserve">Lieu : </t>
  </si>
  <si>
    <t>Date :</t>
  </si>
  <si>
    <t>Catégorie :</t>
  </si>
  <si>
    <t>Durée des matchs</t>
  </si>
  <si>
    <t>Cl.t</t>
  </si>
  <si>
    <t>Division 1 Manche 3</t>
  </si>
  <si>
    <t>2F</t>
  </si>
  <si>
    <t>Match M241</t>
  </si>
  <si>
    <t>Match M242</t>
  </si>
  <si>
    <t>Match M243</t>
  </si>
  <si>
    <t>Match M244</t>
  </si>
  <si>
    <t>Match M254</t>
  </si>
  <si>
    <t>Match M255</t>
  </si>
  <si>
    <t>Match M256</t>
  </si>
  <si>
    <t>Match M258</t>
  </si>
  <si>
    <t>Match M259</t>
  </si>
  <si>
    <t>Match M260</t>
  </si>
  <si>
    <t>Match M261</t>
  </si>
  <si>
    <t>P242</t>
  </si>
  <si>
    <t>P241</t>
  </si>
  <si>
    <t>P244</t>
  </si>
  <si>
    <t>P243</t>
  </si>
  <si>
    <t>G242</t>
  </si>
  <si>
    <t>G241</t>
  </si>
  <si>
    <t>Match M257</t>
  </si>
  <si>
    <t>G244</t>
  </si>
  <si>
    <t>G243</t>
  </si>
  <si>
    <t>P254</t>
  </si>
  <si>
    <t>P255</t>
  </si>
  <si>
    <t>G254</t>
  </si>
  <si>
    <t>G255</t>
  </si>
  <si>
    <t>FINALE</t>
  </si>
  <si>
    <t>PETITE FINALE</t>
  </si>
  <si>
    <t>Petite Finale</t>
  </si>
  <si>
    <t>Match M145</t>
  </si>
  <si>
    <t>Barrages</t>
  </si>
  <si>
    <t>Play Off</t>
  </si>
  <si>
    <t>Match M245</t>
  </si>
  <si>
    <t>Match M146</t>
  </si>
  <si>
    <t>Match M147</t>
  </si>
  <si>
    <t>Match M148</t>
  </si>
  <si>
    <t>Match M149</t>
  </si>
  <si>
    <t>Match M150</t>
  </si>
  <si>
    <t>Match M151</t>
  </si>
  <si>
    <t>Match M152</t>
  </si>
  <si>
    <t>Match M153</t>
  </si>
  <si>
    <t>P146</t>
  </si>
  <si>
    <t>P147</t>
  </si>
  <si>
    <t>P148</t>
  </si>
  <si>
    <t>P149</t>
  </si>
  <si>
    <t>G146</t>
  </si>
  <si>
    <t>G147</t>
  </si>
  <si>
    <t>G148</t>
  </si>
  <si>
    <t>G149</t>
  </si>
  <si>
    <t>P150</t>
  </si>
  <si>
    <t>P151</t>
  </si>
  <si>
    <t>G150</t>
  </si>
  <si>
    <t>G151</t>
  </si>
  <si>
    <t>P152</t>
  </si>
  <si>
    <t>P153</t>
  </si>
  <si>
    <t>G152</t>
  </si>
  <si>
    <t>G153</t>
  </si>
  <si>
    <t>Match M155</t>
  </si>
  <si>
    <t>Match M157</t>
  </si>
  <si>
    <t>Match M159</t>
  </si>
  <si>
    <t>Match M161</t>
  </si>
  <si>
    <t>Match M154</t>
  </si>
  <si>
    <t>Match M156</t>
  </si>
  <si>
    <t>Match M158</t>
  </si>
  <si>
    <t>Match M160</t>
  </si>
  <si>
    <t>Match M246</t>
  </si>
  <si>
    <t>Match M247</t>
  </si>
  <si>
    <t>Match M248</t>
  </si>
  <si>
    <t>Match M249</t>
  </si>
  <si>
    <t>P246</t>
  </si>
  <si>
    <t>P247</t>
  </si>
  <si>
    <t>P248</t>
  </si>
  <si>
    <t>P249</t>
  </si>
  <si>
    <t>G246</t>
  </si>
  <si>
    <t>G247</t>
  </si>
  <si>
    <t>G248</t>
  </si>
  <si>
    <t>G249</t>
  </si>
  <si>
    <t>Groupe A</t>
  </si>
  <si>
    <t>Sélectionnées pour Manche 1</t>
  </si>
  <si>
    <t>Groupe B</t>
  </si>
  <si>
    <t>Manche 2</t>
  </si>
  <si>
    <t>Féminines</t>
  </si>
  <si>
    <t>Buts 
Contre</t>
  </si>
  <si>
    <t>Buts 
Pour</t>
  </si>
  <si>
    <t>M1</t>
  </si>
  <si>
    <t>M3</t>
  </si>
  <si>
    <t>M1/M2</t>
  </si>
  <si>
    <t>Match M250</t>
  </si>
  <si>
    <t>FP241</t>
  </si>
  <si>
    <t>FP242</t>
  </si>
  <si>
    <t>FP243</t>
  </si>
  <si>
    <t>FP244</t>
  </si>
  <si>
    <t>FG241</t>
  </si>
  <si>
    <t>FG242</t>
  </si>
  <si>
    <t>FG243</t>
  </si>
  <si>
    <t>FG244</t>
  </si>
  <si>
    <t>Match M251</t>
  </si>
  <si>
    <t>Match M252</t>
  </si>
  <si>
    <t>Match M253</t>
  </si>
  <si>
    <t>P250</t>
  </si>
  <si>
    <t>P251</t>
  </si>
  <si>
    <t>G250</t>
  </si>
  <si>
    <t>G251</t>
  </si>
  <si>
    <t>P252</t>
  </si>
  <si>
    <t>P253</t>
  </si>
  <si>
    <t>G252</t>
  </si>
  <si>
    <t>G253</t>
  </si>
  <si>
    <t>P156</t>
  </si>
  <si>
    <t>G156</t>
  </si>
  <si>
    <t>G154</t>
  </si>
  <si>
    <t>P154</t>
  </si>
  <si>
    <r>
      <t>Places 7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8</t>
    </r>
    <r>
      <rPr>
        <vertAlign val="superscript"/>
        <sz val="14"/>
        <rFont val="Arial"/>
        <family val="2"/>
      </rPr>
      <t>ème</t>
    </r>
  </si>
  <si>
    <r>
      <t>Places 5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6</t>
    </r>
    <r>
      <rPr>
        <vertAlign val="superscript"/>
        <sz val="14"/>
        <rFont val="Arial"/>
        <family val="2"/>
      </rPr>
      <t>ème</t>
    </r>
  </si>
  <si>
    <r>
      <t>Places de 7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8</t>
    </r>
    <r>
      <rPr>
        <vertAlign val="superscript"/>
        <sz val="14"/>
        <rFont val="Arial"/>
        <family val="2"/>
      </rPr>
      <t>ème</t>
    </r>
  </si>
  <si>
    <r>
      <t>Places de 5</t>
    </r>
    <r>
      <rPr>
        <vertAlign val="superscript"/>
        <sz val="14"/>
        <rFont val="Arial"/>
        <family val="2"/>
      </rPr>
      <t>ème</t>
    </r>
    <r>
      <rPr>
        <sz val="14"/>
        <rFont val="Arial"/>
        <family val="2"/>
      </rPr>
      <t xml:space="preserve"> 6</t>
    </r>
    <r>
      <rPr>
        <vertAlign val="superscript"/>
        <sz val="14"/>
        <rFont val="Arial"/>
        <family val="2"/>
      </rPr>
      <t>ème</t>
    </r>
  </si>
  <si>
    <t>LAGNY</t>
  </si>
  <si>
    <t>Club</t>
  </si>
  <si>
    <t>CHAMPIONNAT DE France</t>
  </si>
  <si>
    <t>ARBITRES</t>
  </si>
  <si>
    <t>Jour</t>
  </si>
  <si>
    <t>Aquatiques</t>
  </si>
  <si>
    <t>Prénom</t>
  </si>
  <si>
    <t>a</t>
  </si>
  <si>
    <t>b</t>
  </si>
  <si>
    <t>M1-M2</t>
  </si>
  <si>
    <t>Classement manche 2 Hommes</t>
  </si>
  <si>
    <t>PESSAC</t>
  </si>
  <si>
    <t>HYERES</t>
  </si>
  <si>
    <t>PONTOISE</t>
  </si>
  <si>
    <t>RENNES</t>
  </si>
  <si>
    <t>FONTENAY</t>
  </si>
  <si>
    <t>FRANCONVILLE</t>
  </si>
  <si>
    <t>MOIRANS</t>
  </si>
  <si>
    <t>Dimanche</t>
  </si>
  <si>
    <t>Hervé</t>
  </si>
  <si>
    <t>Laurent</t>
  </si>
  <si>
    <t>Sébastien</t>
  </si>
  <si>
    <t>A-1</t>
  </si>
  <si>
    <t>A-3</t>
  </si>
  <si>
    <t>A-4</t>
  </si>
  <si>
    <t>A-5</t>
  </si>
  <si>
    <t>A-6</t>
  </si>
  <si>
    <t>A-7</t>
  </si>
  <si>
    <t>A-8</t>
  </si>
  <si>
    <t>B-1</t>
  </si>
  <si>
    <t>B-2</t>
  </si>
  <si>
    <t>B-3</t>
  </si>
  <si>
    <t>B-4</t>
  </si>
  <si>
    <t>B-5</t>
  </si>
  <si>
    <t>B-6</t>
  </si>
  <si>
    <t>B-7</t>
  </si>
  <si>
    <t>B-8</t>
  </si>
  <si>
    <t>A-2</t>
  </si>
  <si>
    <t>AP146</t>
  </si>
  <si>
    <t>AP147</t>
  </si>
  <si>
    <t>AP148</t>
  </si>
  <si>
    <t>AG146</t>
  </si>
  <si>
    <t>AG148</t>
  </si>
  <si>
    <t>AG149</t>
  </si>
  <si>
    <t>AG147</t>
  </si>
  <si>
    <t>AP149</t>
  </si>
  <si>
    <t>F1</t>
  </si>
  <si>
    <t>F4</t>
  </si>
  <si>
    <t>F3</t>
  </si>
  <si>
    <t>F2</t>
  </si>
  <si>
    <t>F7</t>
  </si>
  <si>
    <t>F6</t>
  </si>
  <si>
    <t>F5</t>
  </si>
  <si>
    <t>F8</t>
  </si>
  <si>
    <t>BP249</t>
  </si>
  <si>
    <t>BG249</t>
  </si>
  <si>
    <t>BG248</t>
  </si>
  <si>
    <t>BP248</t>
  </si>
  <si>
    <t>BP254</t>
  </si>
  <si>
    <t>BG254</t>
  </si>
  <si>
    <t>BG154</t>
  </si>
  <si>
    <t>BP154</t>
  </si>
  <si>
    <t>BAR A8</t>
  </si>
  <si>
    <t>BAR B1</t>
  </si>
  <si>
    <t>BAR A7</t>
  </si>
  <si>
    <t>BAR B2</t>
  </si>
  <si>
    <t>BP247</t>
  </si>
  <si>
    <t>BP246</t>
  </si>
  <si>
    <t>BG246</t>
  </si>
  <si>
    <t>BP255</t>
  </si>
  <si>
    <t>BG255</t>
  </si>
  <si>
    <t>BG156</t>
  </si>
  <si>
    <t>BG247</t>
  </si>
  <si>
    <t>BP156</t>
  </si>
  <si>
    <t>AP150</t>
  </si>
  <si>
    <t>AP151</t>
  </si>
  <si>
    <t>AG150</t>
  </si>
  <si>
    <t>AG151</t>
  </si>
  <si>
    <t>AG152</t>
  </si>
  <si>
    <t>AG153</t>
  </si>
  <si>
    <t>AP152</t>
  </si>
  <si>
    <t>AP153</t>
  </si>
  <si>
    <t>F-1</t>
  </si>
  <si>
    <t>F-2</t>
  </si>
  <si>
    <t>F-3</t>
  </si>
  <si>
    <t>F-4</t>
  </si>
  <si>
    <t>F-5</t>
  </si>
  <si>
    <t>F-6</t>
  </si>
  <si>
    <t>F-7</t>
  </si>
  <si>
    <t>F-8</t>
  </si>
  <si>
    <t>BAR A-7</t>
  </si>
  <si>
    <t>BAR B-2</t>
  </si>
  <si>
    <t>BAR A-8</t>
  </si>
  <si>
    <t>BAR B-1</t>
  </si>
  <si>
    <t>DINAN</t>
  </si>
  <si>
    <t>Classement manche 1 Féminin</t>
  </si>
  <si>
    <t>Classement manche 2 Féminin</t>
  </si>
  <si>
    <t>Classement manche 1 Hommes</t>
  </si>
  <si>
    <t>Pt.</t>
  </si>
  <si>
    <r>
      <t>1</t>
    </r>
    <r>
      <rPr>
        <sz val="12"/>
        <rFont val="Arial"/>
        <family val="2"/>
      </rPr>
      <t xml:space="preserve"> (9)</t>
    </r>
  </si>
  <si>
    <r>
      <t>2</t>
    </r>
    <r>
      <rPr>
        <sz val="12"/>
        <rFont val="Arial"/>
        <family val="2"/>
      </rPr>
      <t xml:space="preserve"> (10)</t>
    </r>
  </si>
  <si>
    <r>
      <t>3</t>
    </r>
    <r>
      <rPr>
        <sz val="12"/>
        <rFont val="Arial"/>
        <family val="2"/>
      </rPr>
      <t xml:space="preserve"> (11)</t>
    </r>
  </si>
  <si>
    <r>
      <t>4</t>
    </r>
    <r>
      <rPr>
        <sz val="12"/>
        <rFont val="Arial"/>
        <family val="2"/>
      </rPr>
      <t xml:space="preserve"> (12)</t>
    </r>
  </si>
  <si>
    <r>
      <t>5</t>
    </r>
    <r>
      <rPr>
        <sz val="12"/>
        <rFont val="Arial"/>
        <family val="2"/>
      </rPr>
      <t xml:space="preserve"> (13)</t>
    </r>
  </si>
  <si>
    <r>
      <t xml:space="preserve">6 </t>
    </r>
    <r>
      <rPr>
        <sz val="12"/>
        <rFont val="Arial"/>
        <family val="2"/>
      </rPr>
      <t>(14)</t>
    </r>
  </si>
  <si>
    <r>
      <t>7</t>
    </r>
    <r>
      <rPr>
        <sz val="12"/>
        <rFont val="Arial"/>
        <family val="2"/>
      </rPr>
      <t xml:space="preserve"> (15)</t>
    </r>
  </si>
  <si>
    <r>
      <t>8</t>
    </r>
    <r>
      <rPr>
        <sz val="12"/>
        <rFont val="Arial"/>
        <family val="2"/>
      </rPr>
      <t xml:space="preserve"> (16)</t>
    </r>
  </si>
  <si>
    <t>MUCHE2</t>
  </si>
  <si>
    <t>Vincent</t>
  </si>
  <si>
    <t>Stephane</t>
  </si>
  <si>
    <t>Stéphane</t>
  </si>
  <si>
    <t>TRUC1</t>
  </si>
  <si>
    <t>Guillaume</t>
  </si>
  <si>
    <t>Fabien</t>
  </si>
  <si>
    <t>Nombre de matchs de repos pour la pause repas :</t>
  </si>
  <si>
    <t>Nom</t>
  </si>
  <si>
    <t>Terrain</t>
  </si>
  <si>
    <t>MUCHE1</t>
  </si>
  <si>
    <t>BIDULE1</t>
  </si>
  <si>
    <t>ZOZO1</t>
  </si>
  <si>
    <t>ZAZA1</t>
  </si>
  <si>
    <t>LOLO2</t>
  </si>
  <si>
    <t>KIKI1</t>
  </si>
  <si>
    <t>LOLO1</t>
  </si>
  <si>
    <t>FLUTE1</t>
  </si>
  <si>
    <t>DUDU1</t>
  </si>
  <si>
    <t>TRUC2</t>
  </si>
  <si>
    <t>BIDULE2</t>
  </si>
  <si>
    <t>ZOZO2</t>
  </si>
  <si>
    <t>ZAZA2</t>
  </si>
  <si>
    <t>KIKI2</t>
  </si>
  <si>
    <t>FLUTE2</t>
  </si>
  <si>
    <t>DUDU2</t>
  </si>
  <si>
    <t>-</t>
  </si>
  <si>
    <t>Principal</t>
  </si>
  <si>
    <t>Rennes</t>
  </si>
  <si>
    <t>Moirans</t>
  </si>
  <si>
    <t>Dinan</t>
  </si>
  <si>
    <t>Fontenay</t>
  </si>
  <si>
    <t>Pontoise</t>
  </si>
  <si>
    <t>Diderot XII</t>
  </si>
  <si>
    <t>Franconville</t>
  </si>
  <si>
    <t>Le Chesnay</t>
  </si>
  <si>
    <t>Saintes</t>
  </si>
  <si>
    <t>Pontoise F</t>
  </si>
  <si>
    <t>Rennes F</t>
  </si>
  <si>
    <t>Le Chesnay F</t>
  </si>
  <si>
    <t>HOPE F</t>
  </si>
  <si>
    <t>Hyères F</t>
  </si>
  <si>
    <t>Moirans F</t>
  </si>
  <si>
    <t>Fontenay F</t>
  </si>
  <si>
    <t>Dinan F</t>
  </si>
  <si>
    <t>Clamart</t>
  </si>
  <si>
    <t>Nantes</t>
  </si>
  <si>
    <t>Le Puy en Velay</t>
  </si>
  <si>
    <t>HOPE</t>
  </si>
  <si>
    <t>Clermont Ferrand</t>
  </si>
  <si>
    <t>Morlaix</t>
  </si>
  <si>
    <t>2021-2022</t>
  </si>
  <si>
    <t>4-5 et 6 Juin 2022</t>
  </si>
  <si>
    <t>Laval</t>
  </si>
  <si>
    <t>Lundi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</si>
</sst>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[Red]\-#,##0\ &quot;F&quot;"/>
    <numFmt numFmtId="167" formatCode="h:mm"/>
    <numFmt numFmtId="168" formatCode="h:mm;@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u val="single"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bgColor indexed="9"/>
      </patternFill>
    </fill>
    <fill>
      <patternFill patternType="darkGray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darkGray">
        <fgColor indexed="50"/>
      </patternFill>
    </fill>
    <fill>
      <patternFill patternType="darkGray">
        <fgColor indexed="44"/>
      </patternFill>
    </fill>
    <fill>
      <patternFill patternType="darkGray">
        <fgColor indexed="29"/>
      </patternFill>
    </fill>
    <fill>
      <patternFill patternType="solid">
        <fgColor theme="0"/>
        <bgColor indexed="64"/>
      </patternFill>
    </fill>
    <fill>
      <patternFill patternType="gray0625"/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/>
      <top/>
      <bottom style="double"/>
    </border>
    <border>
      <left/>
      <right style="double"/>
      <top/>
      <bottom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/>
      <bottom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0" borderId="2" applyNumberFormat="0" applyFill="0" applyAlignment="0" applyProtection="0"/>
    <xf numFmtId="0" fontId="0" fillId="26" borderId="3" applyNumberFormat="0" applyFont="0" applyAlignment="0" applyProtection="0"/>
    <xf numFmtId="0" fontId="45" fillId="27" borderId="1" applyNumberForma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6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</cellStyleXfs>
  <cellXfs count="30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54" applyAlignment="1">
      <alignment horizontal="left" wrapText="1"/>
      <protection/>
    </xf>
    <xf numFmtId="0" fontId="0" fillId="0" borderId="0" xfId="54" applyAlignment="1">
      <alignment wrapText="1"/>
      <protection/>
    </xf>
    <xf numFmtId="0" fontId="0" fillId="0" borderId="0" xfId="54">
      <alignment/>
      <protection/>
    </xf>
    <xf numFmtId="0" fontId="2" fillId="0" borderId="10" xfId="54" applyFont="1" applyBorder="1" applyAlignment="1">
      <alignment horizontal="left" wrapText="1"/>
      <protection/>
    </xf>
    <xf numFmtId="0" fontId="2" fillId="0" borderId="10" xfId="54" applyFont="1" applyBorder="1" applyAlignment="1">
      <alignment wrapText="1"/>
      <protection/>
    </xf>
    <xf numFmtId="0" fontId="2" fillId="0" borderId="10" xfId="54" applyFont="1" applyBorder="1" applyAlignment="1" applyProtection="1">
      <alignment wrapText="1"/>
      <protection locked="0"/>
    </xf>
    <xf numFmtId="0" fontId="2" fillId="0" borderId="10" xfId="55" applyFont="1" applyBorder="1" applyAlignment="1">
      <alignment wrapText="1"/>
      <protection/>
    </xf>
    <xf numFmtId="0" fontId="2" fillId="0" borderId="10" xfId="55" applyFont="1" applyBorder="1" applyAlignment="1" applyProtection="1">
      <alignment wrapText="1"/>
      <protection locked="0"/>
    </xf>
    <xf numFmtId="0" fontId="0" fillId="0" borderId="0" xfId="55">
      <alignment/>
      <protection/>
    </xf>
    <xf numFmtId="20" fontId="2" fillId="0" borderId="10" xfId="54" applyNumberFormat="1" applyFont="1" applyBorder="1" applyAlignment="1" applyProtection="1">
      <alignment wrapText="1"/>
      <protection locked="0"/>
    </xf>
    <xf numFmtId="0" fontId="2" fillId="0" borderId="0" xfId="54" applyFont="1" applyAlignment="1">
      <alignment horizontal="left" wrapText="1"/>
      <protection/>
    </xf>
    <xf numFmtId="0" fontId="2" fillId="0" borderId="0" xfId="54" applyFont="1" applyAlignment="1">
      <alignment wrapText="1"/>
      <protection/>
    </xf>
    <xf numFmtId="0" fontId="0" fillId="0" borderId="0" xfId="54" applyAlignment="1">
      <alignment horizontal="left"/>
      <protection/>
    </xf>
    <xf numFmtId="0" fontId="7" fillId="0" borderId="0" xfId="54" applyFont="1" applyAlignment="1" applyProtection="1">
      <alignment vertical="center"/>
      <protection/>
    </xf>
    <xf numFmtId="0" fontId="2" fillId="0" borderId="0" xfId="54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" fillId="0" borderId="0" xfId="54" applyFont="1" applyBorder="1" applyAlignment="1" applyProtection="1">
      <alignment horizontal="center" vertical="center"/>
      <protection/>
    </xf>
    <xf numFmtId="0" fontId="7" fillId="0" borderId="11" xfId="54" applyFont="1" applyBorder="1" applyAlignment="1" applyProtection="1">
      <alignment vertical="center"/>
      <protection/>
    </xf>
    <xf numFmtId="0" fontId="2" fillId="0" borderId="0" xfId="54" applyFont="1" applyBorder="1" applyAlignment="1" applyProtection="1">
      <alignment vertical="center"/>
      <protection/>
    </xf>
    <xf numFmtId="0" fontId="7" fillId="0" borderId="0" xfId="54" applyFont="1" applyBorder="1" applyAlignment="1" applyProtection="1">
      <alignment vertical="center"/>
      <protection/>
    </xf>
    <xf numFmtId="0" fontId="9" fillId="0" borderId="0" xfId="54" applyFont="1" applyAlignment="1" applyProtection="1">
      <alignment horizontal="center" vertical="center"/>
      <protection/>
    </xf>
    <xf numFmtId="0" fontId="7" fillId="0" borderId="0" xfId="54" applyFont="1" applyBorder="1" applyAlignment="1" applyProtection="1">
      <alignment horizontal="left" vertical="center"/>
      <protection/>
    </xf>
    <xf numFmtId="0" fontId="7" fillId="0" borderId="0" xfId="54" applyFo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7" fillId="0" borderId="0" xfId="54" applyFont="1" applyFill="1" applyAlignment="1" applyProtection="1">
      <alignment horizontal="center"/>
      <protection/>
    </xf>
    <xf numFmtId="0" fontId="2" fillId="0" borderId="0" xfId="54" applyFont="1" applyAlignment="1" applyProtection="1">
      <alignment horizontal="center"/>
      <protection/>
    </xf>
    <xf numFmtId="0" fontId="7" fillId="0" borderId="0" xfId="54" applyFont="1" applyAlignment="1" applyProtection="1">
      <alignment horizontal="center" vertical="center"/>
      <protection/>
    </xf>
    <xf numFmtId="0" fontId="10" fillId="0" borderId="0" xfId="54" applyFont="1" applyAlignment="1" applyProtection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/>
    </xf>
    <xf numFmtId="0" fontId="7" fillId="32" borderId="12" xfId="54" applyFont="1" applyFill="1" applyBorder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11" fillId="0" borderId="0" xfId="54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0" fontId="11" fillId="0" borderId="0" xfId="54" applyFont="1" applyBorder="1" applyProtection="1">
      <alignment/>
      <protection/>
    </xf>
    <xf numFmtId="0" fontId="7" fillId="0" borderId="0" xfId="54" applyFont="1" applyProtection="1">
      <alignment/>
      <protection locked="0"/>
    </xf>
    <xf numFmtId="0" fontId="7" fillId="0" borderId="0" xfId="54" applyFont="1" applyAlignment="1" applyProtection="1">
      <alignment horizontal="center"/>
      <protection locked="0"/>
    </xf>
    <xf numFmtId="0" fontId="2" fillId="0" borderId="0" xfId="54" applyFont="1" applyAlignment="1" applyProtection="1">
      <alignment horizontal="center"/>
      <protection locked="0"/>
    </xf>
    <xf numFmtId="0" fontId="7" fillId="0" borderId="0" xfId="54" applyFont="1" applyBorder="1" applyProtection="1">
      <alignment/>
      <protection locked="0"/>
    </xf>
    <xf numFmtId="0" fontId="11" fillId="0" borderId="0" xfId="54" applyFont="1" applyProtection="1">
      <alignment/>
      <protection locked="0"/>
    </xf>
    <xf numFmtId="0" fontId="6" fillId="0" borderId="0" xfId="54" applyFont="1" applyAlignment="1" applyProtection="1">
      <alignment horizontal="center"/>
      <protection locked="0"/>
    </xf>
    <xf numFmtId="0" fontId="11" fillId="0" borderId="0" xfId="54" applyFont="1" applyBorder="1" applyProtection="1">
      <alignment/>
      <protection locked="0"/>
    </xf>
    <xf numFmtId="0" fontId="0" fillId="0" borderId="0" xfId="54" applyProtection="1">
      <alignment/>
      <protection/>
    </xf>
    <xf numFmtId="0" fontId="8" fillId="0" borderId="13" xfId="54" applyFont="1" applyBorder="1" applyAlignment="1" applyProtection="1">
      <alignment vertical="center"/>
      <protection/>
    </xf>
    <xf numFmtId="0" fontId="8" fillId="0" borderId="14" xfId="54" applyFont="1" applyBorder="1" applyAlignment="1" applyProtection="1">
      <alignment vertical="center"/>
      <protection/>
    </xf>
    <xf numFmtId="0" fontId="0" fillId="0" borderId="14" xfId="54" applyBorder="1" applyAlignment="1" applyProtection="1">
      <alignment/>
      <protection/>
    </xf>
    <xf numFmtId="0" fontId="7" fillId="0" borderId="0" xfId="54" applyFont="1">
      <alignment/>
      <protection/>
    </xf>
    <xf numFmtId="0" fontId="2" fillId="0" borderId="0" xfId="54" applyFont="1" applyAlignment="1">
      <alignment horizontal="center"/>
      <protection/>
    </xf>
    <xf numFmtId="0" fontId="2" fillId="33" borderId="15" xfId="54" applyFont="1" applyFill="1" applyBorder="1" applyAlignment="1">
      <alignment horizontal="center" vertical="center"/>
      <protection/>
    </xf>
    <xf numFmtId="0" fontId="2" fillId="33" borderId="13" xfId="54" applyFont="1" applyFill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2" fillId="33" borderId="16" xfId="54" applyFont="1" applyFill="1" applyBorder="1" applyAlignment="1">
      <alignment horizontal="center" vertical="center"/>
      <protection/>
    </xf>
    <xf numFmtId="0" fontId="2" fillId="0" borderId="0" xfId="54" applyFont="1" applyAlignment="1">
      <alignment horizontal="center" vertical="center"/>
      <protection/>
    </xf>
    <xf numFmtId="0" fontId="2" fillId="33" borderId="17" xfId="54" applyFont="1" applyFill="1" applyBorder="1" applyAlignment="1" applyProtection="1">
      <alignment vertical="center"/>
      <protection locked="0"/>
    </xf>
    <xf numFmtId="0" fontId="7" fillId="33" borderId="18" xfId="54" applyFont="1" applyFill="1" applyBorder="1" applyAlignment="1" applyProtection="1">
      <alignment vertical="center"/>
      <protection locked="0"/>
    </xf>
    <xf numFmtId="0" fontId="7" fillId="33" borderId="19" xfId="54" applyFont="1" applyFill="1" applyBorder="1" applyAlignment="1" applyProtection="1">
      <alignment vertical="center"/>
      <protection locked="0"/>
    </xf>
    <xf numFmtId="0" fontId="7" fillId="0" borderId="10" xfId="54" applyFont="1" applyBorder="1" applyAlignment="1" applyProtection="1">
      <alignment horizontal="center"/>
      <protection/>
    </xf>
    <xf numFmtId="0" fontId="2" fillId="0" borderId="0" xfId="54" applyFont="1" applyBorder="1" applyProtection="1">
      <alignment/>
      <protection/>
    </xf>
    <xf numFmtId="0" fontId="7" fillId="0" borderId="0" xfId="54" applyFont="1" applyFill="1" applyBorder="1" applyAlignment="1" applyProtection="1">
      <alignment horizontal="center"/>
      <protection/>
    </xf>
    <xf numFmtId="0" fontId="7" fillId="0" borderId="0" xfId="54" applyFont="1" applyBorder="1" applyAlignment="1" applyProtection="1">
      <alignment horizontal="center"/>
      <protection/>
    </xf>
    <xf numFmtId="0" fontId="4" fillId="0" borderId="0" xfId="54" applyFont="1" applyAlignment="1" applyProtection="1">
      <alignment horizontal="center" vertical="center"/>
      <protection/>
    </xf>
    <xf numFmtId="0" fontId="7" fillId="34" borderId="0" xfId="54" applyFont="1" applyFill="1" applyBorder="1" applyAlignment="1" applyProtection="1">
      <alignment horizontal="center"/>
      <protection/>
    </xf>
    <xf numFmtId="0" fontId="13" fillId="0" borderId="0" xfId="54" applyFont="1" applyProtection="1">
      <alignment/>
      <protection/>
    </xf>
    <xf numFmtId="0" fontId="8" fillId="0" borderId="0" xfId="54" applyFont="1" applyAlignment="1" applyProtection="1">
      <alignment horizontal="center"/>
      <protection/>
    </xf>
    <xf numFmtId="0" fontId="13" fillId="0" borderId="0" xfId="54" applyFont="1" applyAlignment="1" applyProtection="1">
      <alignment horizontal="center"/>
      <protection/>
    </xf>
    <xf numFmtId="0" fontId="13" fillId="0" borderId="0" xfId="54" applyFont="1" applyBorder="1" applyProtection="1">
      <alignment/>
      <protection/>
    </xf>
    <xf numFmtId="0" fontId="13" fillId="0" borderId="0" xfId="54" applyFont="1" applyProtection="1">
      <alignment/>
      <protection locked="0"/>
    </xf>
    <xf numFmtId="0" fontId="13" fillId="0" borderId="0" xfId="54" applyFont="1" applyAlignment="1" applyProtection="1">
      <alignment horizontal="center"/>
      <protection locked="0"/>
    </xf>
    <xf numFmtId="0" fontId="8" fillId="0" borderId="0" xfId="54" applyFont="1" applyAlignment="1" applyProtection="1">
      <alignment horizontal="center"/>
      <protection locked="0"/>
    </xf>
    <xf numFmtId="0" fontId="13" fillId="0" borderId="0" xfId="54" applyFont="1" applyBorder="1" applyProtection="1">
      <alignment/>
      <protection locked="0"/>
    </xf>
    <xf numFmtId="0" fontId="7" fillId="4" borderId="18" xfId="54" applyFont="1" applyFill="1" applyBorder="1" applyAlignment="1" applyProtection="1">
      <alignment vertical="center"/>
      <protection locked="0"/>
    </xf>
    <xf numFmtId="0" fontId="2" fillId="4" borderId="13" xfId="54" applyFont="1" applyFill="1" applyBorder="1" applyAlignment="1">
      <alignment horizontal="center" vertical="center"/>
      <protection/>
    </xf>
    <xf numFmtId="0" fontId="7" fillId="4" borderId="19" xfId="54" applyFont="1" applyFill="1" applyBorder="1" applyAlignment="1" applyProtection="1">
      <alignment vertical="center"/>
      <protection locked="0"/>
    </xf>
    <xf numFmtId="0" fontId="2" fillId="4" borderId="16" xfId="54" applyFont="1" applyFill="1" applyBorder="1" applyAlignment="1">
      <alignment horizontal="center" vertical="center"/>
      <protection/>
    </xf>
    <xf numFmtId="0" fontId="2" fillId="35" borderId="12" xfId="54" applyFont="1" applyFill="1" applyBorder="1" applyAlignment="1" applyProtection="1">
      <alignment vertical="center"/>
      <protection locked="0"/>
    </xf>
    <xf numFmtId="0" fontId="2" fillId="35" borderId="20" xfId="54" applyFont="1" applyFill="1" applyBorder="1" applyAlignment="1">
      <alignment horizontal="center" vertical="center"/>
      <protection/>
    </xf>
    <xf numFmtId="0" fontId="7" fillId="35" borderId="21" xfId="54" applyFont="1" applyFill="1" applyBorder="1" applyAlignment="1" applyProtection="1">
      <alignment vertical="center"/>
      <protection locked="0"/>
    </xf>
    <xf numFmtId="0" fontId="2" fillId="35" borderId="22" xfId="54" applyFont="1" applyFill="1" applyBorder="1" applyAlignment="1">
      <alignment horizontal="center" vertical="center"/>
      <protection/>
    </xf>
    <xf numFmtId="0" fontId="7" fillId="35" borderId="23" xfId="54" applyFont="1" applyFill="1" applyBorder="1" applyAlignment="1" applyProtection="1">
      <alignment vertical="center"/>
      <protection locked="0"/>
    </xf>
    <xf numFmtId="0" fontId="2" fillId="35" borderId="24" xfId="54" applyFont="1" applyFill="1" applyBorder="1" applyAlignment="1">
      <alignment horizontal="center" vertical="center"/>
      <protection/>
    </xf>
    <xf numFmtId="0" fontId="13" fillId="0" borderId="0" xfId="54" applyFont="1" applyBorder="1" applyAlignment="1" applyProtection="1">
      <alignment/>
      <protection locked="0"/>
    </xf>
    <xf numFmtId="0" fontId="0" fillId="0" borderId="10" xfId="55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0" fontId="7" fillId="0" borderId="0" xfId="54" applyFont="1" applyFill="1" applyAlignment="1" applyProtection="1">
      <alignment wrapText="1"/>
      <protection locked="0"/>
    </xf>
    <xf numFmtId="0" fontId="7" fillId="0" borderId="0" xfId="54" applyFont="1" applyFill="1" applyProtection="1">
      <alignment/>
      <protection locked="0"/>
    </xf>
    <xf numFmtId="0" fontId="7" fillId="0" borderId="0" xfId="0" applyFont="1" applyFill="1" applyBorder="1" applyAlignment="1">
      <alignment vertical="center"/>
    </xf>
    <xf numFmtId="0" fontId="2" fillId="0" borderId="0" xfId="54" applyFont="1">
      <alignment/>
      <protection/>
    </xf>
    <xf numFmtId="0" fontId="7" fillId="0" borderId="0" xfId="55" applyFont="1" applyFill="1" applyBorder="1" applyAlignment="1">
      <alignment horizontal="left"/>
      <protection/>
    </xf>
    <xf numFmtId="0" fontId="2" fillId="10" borderId="10" xfId="54" applyFont="1" applyFill="1" applyBorder="1" applyAlignment="1" applyProtection="1">
      <alignment wrapText="1"/>
      <protection locked="0"/>
    </xf>
    <xf numFmtId="0" fontId="2" fillId="10" borderId="10" xfId="54" applyFont="1" applyFill="1" applyBorder="1" applyProtection="1">
      <alignment/>
      <protection locked="0"/>
    </xf>
    <xf numFmtId="0" fontId="2" fillId="33" borderId="10" xfId="0" applyFont="1" applyFill="1" applyBorder="1" applyAlignment="1">
      <alignment vertical="center"/>
    </xf>
    <xf numFmtId="0" fontId="2" fillId="36" borderId="10" xfId="55" applyFont="1" applyFill="1" applyBorder="1" applyAlignment="1">
      <alignment horizontal="left"/>
      <protection/>
    </xf>
    <xf numFmtId="0" fontId="2" fillId="36" borderId="10" xfId="54" applyFont="1" applyFill="1" applyBorder="1" applyAlignment="1" applyProtection="1">
      <alignment wrapText="1"/>
      <protection locked="0"/>
    </xf>
    <xf numFmtId="0" fontId="2" fillId="10" borderId="10" xfId="54" applyFont="1" applyFill="1" applyBorder="1" applyAlignment="1">
      <alignment horizontal="center" wrapText="1"/>
      <protection/>
    </xf>
    <xf numFmtId="0" fontId="2" fillId="36" borderId="10" xfId="54" applyFont="1" applyFill="1" applyBorder="1" applyAlignment="1">
      <alignment horizont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0" borderId="10" xfId="54" applyFont="1" applyBorder="1" applyProtection="1">
      <alignment/>
      <protection/>
    </xf>
    <xf numFmtId="0" fontId="7" fillId="32" borderId="10" xfId="54" applyFont="1" applyFill="1" applyBorder="1" applyAlignment="1" applyProtection="1">
      <alignment horizontal="center"/>
      <protection/>
    </xf>
    <xf numFmtId="0" fontId="2" fillId="0" borderId="12" xfId="54" applyFont="1" applyBorder="1" applyProtection="1">
      <alignment/>
      <protection/>
    </xf>
    <xf numFmtId="0" fontId="7" fillId="32" borderId="25" xfId="54" applyFont="1" applyFill="1" applyBorder="1" applyAlignment="1" applyProtection="1">
      <alignment horizontal="center"/>
      <protection/>
    </xf>
    <xf numFmtId="0" fontId="2" fillId="0" borderId="20" xfId="54" applyFont="1" applyBorder="1" applyAlignment="1" applyProtection="1">
      <alignment horizontal="center"/>
      <protection/>
    </xf>
    <xf numFmtId="0" fontId="2" fillId="0" borderId="21" xfId="54" applyFont="1" applyBorder="1" applyProtection="1">
      <alignment/>
      <protection/>
    </xf>
    <xf numFmtId="0" fontId="2" fillId="0" borderId="22" xfId="54" applyFont="1" applyBorder="1" applyAlignment="1" applyProtection="1">
      <alignment horizontal="center"/>
      <protection/>
    </xf>
    <xf numFmtId="0" fontId="2" fillId="0" borderId="23" xfId="54" applyFont="1" applyBorder="1" applyProtection="1">
      <alignment/>
      <protection/>
    </xf>
    <xf numFmtId="0" fontId="7" fillId="32" borderId="26" xfId="54" applyFont="1" applyFill="1" applyBorder="1" applyAlignment="1" applyProtection="1">
      <alignment horizontal="center"/>
      <protection/>
    </xf>
    <xf numFmtId="0" fontId="2" fillId="0" borderId="24" xfId="54" applyFont="1" applyBorder="1" applyAlignment="1" applyProtection="1">
      <alignment horizontal="center"/>
      <protection/>
    </xf>
    <xf numFmtId="0" fontId="7" fillId="0" borderId="27" xfId="54" applyFont="1" applyBorder="1" applyAlignment="1" applyProtection="1">
      <alignment horizontal="center" vertical="center" wrapText="1"/>
      <protection/>
    </xf>
    <xf numFmtId="0" fontId="2" fillId="37" borderId="10" xfId="54" applyFont="1" applyFill="1" applyBorder="1" applyAlignment="1" applyProtection="1">
      <alignment horizontal="center"/>
      <protection/>
    </xf>
    <xf numFmtId="0" fontId="2" fillId="38" borderId="10" xfId="54" applyFont="1" applyFill="1" applyBorder="1" applyAlignment="1" applyProtection="1">
      <alignment horizontal="center"/>
      <protection/>
    </xf>
    <xf numFmtId="0" fontId="2" fillId="0" borderId="25" xfId="54" applyFont="1" applyBorder="1" applyProtection="1">
      <alignment/>
      <protection/>
    </xf>
    <xf numFmtId="0" fontId="2" fillId="37" borderId="25" xfId="54" applyFont="1" applyFill="1" applyBorder="1" applyAlignment="1" applyProtection="1">
      <alignment horizontal="center"/>
      <protection/>
    </xf>
    <xf numFmtId="0" fontId="7" fillId="0" borderId="25" xfId="54" applyFont="1" applyBorder="1" applyAlignment="1" applyProtection="1">
      <alignment horizontal="center"/>
      <protection/>
    </xf>
    <xf numFmtId="0" fontId="7" fillId="0" borderId="20" xfId="54" applyFont="1" applyBorder="1" applyAlignment="1" applyProtection="1">
      <alignment horizontal="center"/>
      <protection/>
    </xf>
    <xf numFmtId="0" fontId="7" fillId="32" borderId="21" xfId="54" applyFont="1" applyFill="1" applyBorder="1" applyAlignment="1" applyProtection="1">
      <alignment horizontal="center"/>
      <protection/>
    </xf>
    <xf numFmtId="0" fontId="7" fillId="0" borderId="22" xfId="54" applyFont="1" applyBorder="1" applyAlignment="1" applyProtection="1">
      <alignment horizontal="center"/>
      <protection/>
    </xf>
    <xf numFmtId="0" fontId="7" fillId="32" borderId="23" xfId="54" applyFont="1" applyFill="1" applyBorder="1" applyAlignment="1" applyProtection="1">
      <alignment horizontal="center"/>
      <protection/>
    </xf>
    <xf numFmtId="0" fontId="2" fillId="0" borderId="26" xfId="54" applyFont="1" applyBorder="1" applyProtection="1">
      <alignment/>
      <protection/>
    </xf>
    <xf numFmtId="0" fontId="2" fillId="38" borderId="26" xfId="54" applyFont="1" applyFill="1" applyBorder="1" applyAlignment="1" applyProtection="1">
      <alignment horizontal="center"/>
      <protection/>
    </xf>
    <xf numFmtId="0" fontId="2" fillId="37" borderId="26" xfId="54" applyFont="1" applyFill="1" applyBorder="1" applyAlignment="1" applyProtection="1">
      <alignment horizontal="center"/>
      <protection/>
    </xf>
    <xf numFmtId="0" fontId="7" fillId="0" borderId="26" xfId="54" applyFont="1" applyBorder="1" applyAlignment="1" applyProtection="1">
      <alignment horizontal="center"/>
      <protection/>
    </xf>
    <xf numFmtId="0" fontId="7" fillId="0" borderId="24" xfId="54" applyFont="1" applyBorder="1" applyAlignment="1" applyProtection="1">
      <alignment horizontal="center"/>
      <protection/>
    </xf>
    <xf numFmtId="1" fontId="7" fillId="32" borderId="25" xfId="54" applyNumberFormat="1" applyFont="1" applyFill="1" applyBorder="1" applyAlignment="1" applyProtection="1">
      <alignment horizontal="center"/>
      <protection/>
    </xf>
    <xf numFmtId="1" fontId="7" fillId="32" borderId="10" xfId="54" applyNumberFormat="1" applyFont="1" applyFill="1" applyBorder="1" applyAlignment="1" applyProtection="1">
      <alignment horizontal="center"/>
      <protection/>
    </xf>
    <xf numFmtId="1" fontId="7" fillId="32" borderId="26" xfId="54" applyNumberFormat="1" applyFont="1" applyFill="1" applyBorder="1" applyAlignment="1" applyProtection="1">
      <alignment horizontal="center"/>
      <protection/>
    </xf>
    <xf numFmtId="0" fontId="7" fillId="10" borderId="12" xfId="54" applyFont="1" applyFill="1" applyBorder="1" applyAlignment="1" applyProtection="1">
      <alignment horizontal="center" vertical="center" shrinkToFit="1"/>
      <protection/>
    </xf>
    <xf numFmtId="0" fontId="13" fillId="10" borderId="25" xfId="54" applyFont="1" applyFill="1" applyBorder="1" applyAlignment="1" applyProtection="1">
      <alignment horizontal="center" vertical="center" shrinkToFit="1"/>
      <protection locked="0"/>
    </xf>
    <xf numFmtId="0" fontId="13" fillId="10" borderId="20" xfId="54" applyFont="1" applyFill="1" applyBorder="1" applyAlignment="1" applyProtection="1">
      <alignment horizontal="center" vertical="center" shrinkToFit="1"/>
      <protection locked="0"/>
    </xf>
    <xf numFmtId="0" fontId="7" fillId="10" borderId="23" xfId="54" applyFont="1" applyFill="1" applyBorder="1" applyAlignment="1" applyProtection="1">
      <alignment horizontal="center" vertical="center" shrinkToFit="1"/>
      <protection/>
    </xf>
    <xf numFmtId="0" fontId="13" fillId="10" borderId="26" xfId="54" applyFont="1" applyFill="1" applyBorder="1" applyAlignment="1" applyProtection="1">
      <alignment horizontal="center" vertical="center" shrinkToFit="1"/>
      <protection locked="0"/>
    </xf>
    <xf numFmtId="0" fontId="13" fillId="10" borderId="24" xfId="54" applyFont="1" applyFill="1" applyBorder="1" applyAlignment="1" applyProtection="1">
      <alignment horizontal="center" vertical="center" shrinkToFit="1"/>
      <protection locked="0"/>
    </xf>
    <xf numFmtId="0" fontId="7" fillId="10" borderId="12" xfId="54" applyFont="1" applyFill="1" applyBorder="1" applyAlignment="1" applyProtection="1">
      <alignment horizontal="center" vertical="center" shrinkToFit="1"/>
      <protection locked="0"/>
    </xf>
    <xf numFmtId="0" fontId="7" fillId="10" borderId="23" xfId="54" applyFont="1" applyFill="1" applyBorder="1" applyAlignment="1" applyProtection="1">
      <alignment horizontal="center" vertical="center" shrinkToFit="1"/>
      <protection locked="0"/>
    </xf>
    <xf numFmtId="0" fontId="7" fillId="39" borderId="12" xfId="54" applyFont="1" applyFill="1" applyBorder="1" applyAlignment="1" applyProtection="1">
      <alignment horizontal="center" vertical="center" shrinkToFit="1"/>
      <protection locked="0"/>
    </xf>
    <xf numFmtId="0" fontId="13" fillId="39" borderId="25" xfId="54" applyFont="1" applyFill="1" applyBorder="1" applyAlignment="1" applyProtection="1">
      <alignment horizontal="center" vertical="center" shrinkToFit="1"/>
      <protection locked="0"/>
    </xf>
    <xf numFmtId="0" fontId="13" fillId="39" borderId="20" xfId="54" applyFont="1" applyFill="1" applyBorder="1" applyAlignment="1" applyProtection="1">
      <alignment horizontal="center" vertical="center" shrinkToFit="1"/>
      <protection locked="0"/>
    </xf>
    <xf numFmtId="0" fontId="7" fillId="39" borderId="23" xfId="54" applyFont="1" applyFill="1" applyBorder="1" applyAlignment="1" applyProtection="1">
      <alignment horizontal="center" vertical="center" shrinkToFit="1"/>
      <protection locked="0"/>
    </xf>
    <xf numFmtId="0" fontId="13" fillId="39" borderId="26" xfId="54" applyFont="1" applyFill="1" applyBorder="1" applyAlignment="1" applyProtection="1">
      <alignment horizontal="center" vertical="center" shrinkToFit="1"/>
      <protection locked="0"/>
    </xf>
    <xf numFmtId="0" fontId="13" fillId="39" borderId="24" xfId="54" applyFont="1" applyFill="1" applyBorder="1" applyAlignment="1" applyProtection="1">
      <alignment horizontal="center" vertical="center" shrinkToFit="1"/>
      <protection locked="0"/>
    </xf>
    <xf numFmtId="0" fontId="7" fillId="10" borderId="12" xfId="54" applyFont="1" applyFill="1" applyBorder="1" applyAlignment="1" applyProtection="1">
      <alignment horizontal="center" shrinkToFit="1"/>
      <protection locked="0"/>
    </xf>
    <xf numFmtId="0" fontId="7" fillId="10" borderId="23" xfId="54" applyFont="1" applyFill="1" applyBorder="1" applyAlignment="1" applyProtection="1">
      <alignment horizontal="center" shrinkToFit="1"/>
      <protection locked="0"/>
    </xf>
    <xf numFmtId="0" fontId="13" fillId="10" borderId="20" xfId="54" applyFont="1" applyFill="1" applyBorder="1" applyAlignment="1" applyProtection="1">
      <alignment shrinkToFit="1"/>
      <protection locked="0"/>
    </xf>
    <xf numFmtId="0" fontId="13" fillId="10" borderId="24" xfId="54" applyFont="1" applyFill="1" applyBorder="1" applyAlignment="1" applyProtection="1">
      <alignment shrinkToFit="1"/>
      <protection locked="0"/>
    </xf>
    <xf numFmtId="0" fontId="7" fillId="40" borderId="12" xfId="54" applyFont="1" applyFill="1" applyBorder="1" applyAlignment="1" applyProtection="1">
      <alignment horizontal="center" vertical="center" shrinkToFit="1"/>
      <protection/>
    </xf>
    <xf numFmtId="0" fontId="13" fillId="40" borderId="25" xfId="54" applyFont="1" applyFill="1" applyBorder="1" applyAlignment="1" applyProtection="1">
      <alignment horizontal="center" vertical="center" shrinkToFit="1"/>
      <protection locked="0"/>
    </xf>
    <xf numFmtId="0" fontId="13" fillId="40" borderId="20" xfId="54" applyFont="1" applyFill="1" applyBorder="1" applyAlignment="1" applyProtection="1">
      <alignment horizontal="center" vertical="center" shrinkToFit="1"/>
      <protection locked="0"/>
    </xf>
    <xf numFmtId="0" fontId="7" fillId="40" borderId="23" xfId="54" applyFont="1" applyFill="1" applyBorder="1" applyAlignment="1" applyProtection="1">
      <alignment horizontal="center" vertical="center" shrinkToFit="1"/>
      <protection/>
    </xf>
    <xf numFmtId="0" fontId="13" fillId="40" borderId="26" xfId="54" applyFont="1" applyFill="1" applyBorder="1" applyAlignment="1" applyProtection="1">
      <alignment horizontal="center" vertical="center" shrinkToFit="1"/>
      <protection locked="0"/>
    </xf>
    <xf numFmtId="0" fontId="13" fillId="40" borderId="24" xfId="54" applyFont="1" applyFill="1" applyBorder="1" applyAlignment="1" applyProtection="1">
      <alignment horizontal="center" vertical="center" shrinkToFit="1"/>
      <protection locked="0"/>
    </xf>
    <xf numFmtId="0" fontId="7" fillId="40" borderId="12" xfId="54" applyFont="1" applyFill="1" applyBorder="1" applyAlignment="1" applyProtection="1">
      <alignment horizontal="center" vertical="center" shrinkToFit="1"/>
      <protection locked="0"/>
    </xf>
    <xf numFmtId="0" fontId="7" fillId="40" borderId="23" xfId="54" applyFont="1" applyFill="1" applyBorder="1" applyAlignment="1" applyProtection="1">
      <alignment horizontal="center" vertical="center" shrinkToFit="1"/>
      <protection locked="0"/>
    </xf>
    <xf numFmtId="0" fontId="11" fillId="10" borderId="12" xfId="54" applyFont="1" applyFill="1" applyBorder="1" applyAlignment="1" applyProtection="1">
      <alignment horizontal="center" vertical="center" shrinkToFit="1"/>
      <protection/>
    </xf>
    <xf numFmtId="0" fontId="11" fillId="10" borderId="23" xfId="54" applyFont="1" applyFill="1" applyBorder="1" applyAlignment="1" applyProtection="1">
      <alignment horizontal="center" vertical="center" shrinkToFit="1"/>
      <protection/>
    </xf>
    <xf numFmtId="0" fontId="11" fillId="10" borderId="12" xfId="54" applyFont="1" applyFill="1" applyBorder="1" applyAlignment="1" applyProtection="1">
      <alignment horizontal="center" vertical="center" shrinkToFit="1"/>
      <protection locked="0"/>
    </xf>
    <xf numFmtId="0" fontId="11" fillId="10" borderId="23" xfId="54" applyFont="1" applyFill="1" applyBorder="1" applyAlignment="1" applyProtection="1">
      <alignment horizontal="center" vertical="center" shrinkToFit="1"/>
      <protection locked="0"/>
    </xf>
    <xf numFmtId="0" fontId="11" fillId="39" borderId="12" xfId="54" applyFont="1" applyFill="1" applyBorder="1" applyAlignment="1" applyProtection="1">
      <alignment horizontal="center" vertical="center" shrinkToFit="1"/>
      <protection locked="0"/>
    </xf>
    <xf numFmtId="0" fontId="11" fillId="39" borderId="23" xfId="54" applyFont="1" applyFill="1" applyBorder="1" applyAlignment="1" applyProtection="1">
      <alignment horizontal="center" vertical="center" shrinkToFit="1"/>
      <protection locked="0"/>
    </xf>
    <xf numFmtId="0" fontId="2" fillId="0" borderId="10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>
      <alignment/>
      <protection/>
    </xf>
    <xf numFmtId="0" fontId="0" fillId="0" borderId="0" xfId="55" applyAlignment="1">
      <alignment horizontal="center" vertical="center"/>
      <protection/>
    </xf>
    <xf numFmtId="0" fontId="7" fillId="0" borderId="10" xfId="55" applyFont="1" applyBorder="1" applyAlignment="1">
      <alignment horizontal="center" vertical="center"/>
      <protection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3" fillId="41" borderId="30" xfId="0" applyFont="1" applyFill="1" applyBorder="1" applyAlignment="1">
      <alignment horizontal="center" vertical="center" shrinkToFit="1"/>
    </xf>
    <xf numFmtId="0" fontId="4" fillId="1" borderId="31" xfId="0" applyFont="1" applyFill="1" applyBorder="1" applyAlignment="1">
      <alignment horizontal="center" vertical="center" shrinkToFit="1"/>
    </xf>
    <xf numFmtId="0" fontId="2" fillId="1" borderId="31" xfId="0" applyFont="1" applyFill="1" applyBorder="1" applyAlignment="1">
      <alignment horizontal="center" vertical="center" shrinkToFit="1"/>
    </xf>
    <xf numFmtId="0" fontId="18" fillId="34" borderId="30" xfId="0" applyFont="1" applyFill="1" applyBorder="1" applyAlignment="1">
      <alignment horizontal="center" vertical="center" shrinkToFit="1"/>
    </xf>
    <xf numFmtId="0" fontId="18" fillId="41" borderId="30" xfId="0" applyFont="1" applyFill="1" applyBorder="1" applyAlignment="1">
      <alignment horizontal="center" vertical="center" shrinkToFit="1"/>
    </xf>
    <xf numFmtId="0" fontId="2" fillId="41" borderId="30" xfId="0" applyFont="1" applyFill="1" applyBorder="1" applyAlignment="1">
      <alignment horizontal="center" vertical="center" shrinkToFit="1"/>
    </xf>
    <xf numFmtId="0" fontId="16" fillId="1" borderId="31" xfId="0" applyFont="1" applyFill="1" applyBorder="1" applyAlignment="1">
      <alignment horizontal="center" vertical="center" shrinkToFit="1"/>
    </xf>
    <xf numFmtId="20" fontId="17" fillId="0" borderId="31" xfId="0" applyNumberFormat="1" applyFont="1" applyBorder="1" applyAlignment="1" applyProtection="1">
      <alignment horizontal="center" vertical="center" shrinkToFit="1"/>
      <protection locked="0"/>
    </xf>
    <xf numFmtId="167" fontId="4" fillId="0" borderId="31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42" borderId="31" xfId="0" applyFont="1" applyFill="1" applyBorder="1" applyAlignment="1">
      <alignment horizontal="center" vertical="center" shrinkToFit="1"/>
    </xf>
    <xf numFmtId="0" fontId="0" fillId="42" borderId="30" xfId="0" applyFill="1" applyBorder="1" applyAlignment="1">
      <alignment horizontal="center" vertical="center" shrinkToFit="1"/>
    </xf>
    <xf numFmtId="0" fontId="4" fillId="42" borderId="31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4" fillId="43" borderId="31" xfId="0" applyFont="1" applyFill="1" applyBorder="1" applyAlignment="1">
      <alignment horizontal="center" vertical="center" shrinkToFit="1"/>
    </xf>
    <xf numFmtId="0" fontId="0" fillId="43" borderId="30" xfId="0" applyFill="1" applyBorder="1" applyAlignment="1">
      <alignment horizontal="center" vertical="center" shrinkToFit="1"/>
    </xf>
    <xf numFmtId="0" fontId="4" fillId="43" borderId="31" xfId="0" applyFont="1" applyFill="1" applyBorder="1" applyAlignment="1" applyProtection="1">
      <alignment horizontal="center" vertical="center" shrinkToFit="1"/>
      <protection locked="0"/>
    </xf>
    <xf numFmtId="166" fontId="4" fillId="43" borderId="31" xfId="0" applyNumberFormat="1" applyFont="1" applyFill="1" applyBorder="1" applyAlignment="1">
      <alignment horizontal="center" vertical="center" shrinkToFit="1"/>
    </xf>
    <xf numFmtId="0" fontId="4" fillId="43" borderId="32" xfId="0" applyFont="1" applyFill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168" fontId="0" fillId="0" borderId="0" xfId="0" applyNumberFormat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  <protection locked="0"/>
    </xf>
    <xf numFmtId="0" fontId="21" fillId="43" borderId="31" xfId="0" applyFont="1" applyFill="1" applyBorder="1" applyAlignment="1">
      <alignment horizontal="center" vertical="center" shrinkToFit="1"/>
    </xf>
    <xf numFmtId="166" fontId="21" fillId="43" borderId="31" xfId="0" applyNumberFormat="1" applyFont="1" applyFill="1" applyBorder="1" applyAlignment="1">
      <alignment horizontal="center" vertical="center" shrinkToFit="1"/>
    </xf>
    <xf numFmtId="0" fontId="4" fillId="43" borderId="3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4" fillId="44" borderId="31" xfId="0" applyFont="1" applyFill="1" applyBorder="1" applyAlignment="1" applyProtection="1">
      <alignment horizontal="center" vertical="center" shrinkToFit="1"/>
      <protection locked="0"/>
    </xf>
    <xf numFmtId="0" fontId="0" fillId="44" borderId="30" xfId="0" applyFill="1" applyBorder="1" applyAlignment="1" applyProtection="1">
      <alignment horizontal="center" vertical="center" shrinkToFit="1"/>
      <protection locked="0"/>
    </xf>
    <xf numFmtId="0" fontId="0" fillId="34" borderId="34" xfId="0" applyFill="1" applyBorder="1" applyAlignment="1">
      <alignment horizontal="center" vertical="center" shrinkToFit="1"/>
    </xf>
    <xf numFmtId="0" fontId="4" fillId="44" borderId="31" xfId="0" applyFont="1" applyFill="1" applyBorder="1" applyAlignment="1">
      <alignment horizontal="center" vertical="center" shrinkToFit="1"/>
    </xf>
    <xf numFmtId="0" fontId="0" fillId="44" borderId="30" xfId="0" applyFill="1" applyBorder="1" applyAlignment="1">
      <alignment horizontal="center" vertical="center" shrinkToFit="1"/>
    </xf>
    <xf numFmtId="167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43" borderId="30" xfId="0" applyFill="1" applyBorder="1" applyAlignment="1" applyProtection="1">
      <alignment horizontal="center" vertical="center" shrinkToFit="1"/>
      <protection locked="0"/>
    </xf>
    <xf numFmtId="166" fontId="4" fillId="43" borderId="31" xfId="0" applyNumberFormat="1" applyFont="1" applyFill="1" applyBorder="1" applyAlignment="1" applyProtection="1">
      <alignment horizontal="center" vertical="center" shrinkToFit="1"/>
      <protection locked="0"/>
    </xf>
    <xf numFmtId="0" fontId="21" fillId="43" borderId="31" xfId="0" applyFont="1" applyFill="1" applyBorder="1" applyAlignment="1" applyProtection="1">
      <alignment horizontal="center" vertical="center" shrinkToFit="1"/>
      <protection locked="0"/>
    </xf>
    <xf numFmtId="166" fontId="21" fillId="43" borderId="3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22" fillId="45" borderId="31" xfId="0" applyNumberFormat="1" applyFont="1" applyFill="1" applyBorder="1" applyAlignment="1" applyProtection="1">
      <alignment horizontal="center" vertical="center" shrinkToFit="1"/>
      <protection locked="0"/>
    </xf>
    <xf numFmtId="0" fontId="17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22" fillId="45" borderId="0" xfId="0" applyNumberFormat="1" applyFont="1" applyFill="1" applyAlignment="1" applyProtection="1">
      <alignment horizontal="center" vertical="center" shrinkToFit="1"/>
      <protection locked="0"/>
    </xf>
    <xf numFmtId="0" fontId="21" fillId="34" borderId="31" xfId="0" applyNumberFormat="1" applyFont="1" applyFill="1" applyBorder="1" applyAlignment="1" applyProtection="1">
      <alignment horizontal="center" vertical="center" shrinkToFit="1"/>
      <protection locked="0"/>
    </xf>
    <xf numFmtId="0" fontId="23" fillId="45" borderId="31" xfId="0" applyNumberFormat="1" applyFont="1" applyFill="1" applyBorder="1" applyAlignment="1" applyProtection="1">
      <alignment horizontal="center" vertical="center" shrinkToFit="1"/>
      <protection locked="0"/>
    </xf>
    <xf numFmtId="0" fontId="23" fillId="45" borderId="0" xfId="0" applyNumberFormat="1" applyFont="1" applyFill="1" applyAlignment="1" applyProtection="1">
      <alignment horizontal="center" vertical="center" shrinkToFit="1"/>
      <protection locked="0"/>
    </xf>
    <xf numFmtId="0" fontId="17" fillId="45" borderId="34" xfId="0" applyNumberFormat="1" applyFont="1" applyFill="1" applyBorder="1" applyAlignment="1" applyProtection="1">
      <alignment horizontal="center" vertical="center" shrinkToFit="1"/>
      <protection locked="0"/>
    </xf>
    <xf numFmtId="0" fontId="17" fillId="45" borderId="0" xfId="0" applyNumberFormat="1" applyFont="1" applyFill="1" applyAlignment="1" applyProtection="1">
      <alignment horizontal="center" vertical="center" shrinkToFit="1"/>
      <protection locked="0"/>
    </xf>
    <xf numFmtId="0" fontId="17" fillId="0" borderId="0" xfId="0" applyNumberFormat="1" applyFont="1" applyAlignment="1" applyProtection="1">
      <alignment horizontal="center" vertical="center" shrinkToFit="1"/>
      <protection locked="0"/>
    </xf>
    <xf numFmtId="0" fontId="17" fillId="34" borderId="35" xfId="0" applyFont="1" applyFill="1" applyBorder="1" applyAlignment="1" applyProtection="1">
      <alignment horizontal="center" vertical="center" shrinkToFit="1"/>
      <protection locked="0"/>
    </xf>
    <xf numFmtId="0" fontId="17" fillId="45" borderId="34" xfId="0" applyFont="1" applyFill="1" applyBorder="1" applyAlignment="1" applyProtection="1">
      <alignment horizontal="center" vertical="center" shrinkToFit="1"/>
      <protection locked="0"/>
    </xf>
    <xf numFmtId="0" fontId="17" fillId="0" borderId="34" xfId="0" applyFont="1" applyBorder="1" applyAlignment="1" applyProtection="1">
      <alignment horizontal="center" vertical="center" shrinkToFit="1"/>
      <protection locked="0"/>
    </xf>
    <xf numFmtId="0" fontId="17" fillId="45" borderId="0" xfId="0" applyFont="1" applyFill="1" applyAlignment="1" applyProtection="1">
      <alignment horizontal="center" vertical="center" shrinkToFit="1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0" fontId="17" fillId="34" borderId="31" xfId="0" applyFont="1" applyFill="1" applyBorder="1" applyAlignment="1" applyProtection="1">
      <alignment horizontal="center" vertical="center" shrinkToFit="1"/>
      <protection locked="0"/>
    </xf>
    <xf numFmtId="0" fontId="21" fillId="34" borderId="31" xfId="0" applyFont="1" applyFill="1" applyBorder="1" applyAlignment="1" applyProtection="1">
      <alignment horizontal="center" vertical="center" shrinkToFit="1"/>
      <protection locked="0"/>
    </xf>
    <xf numFmtId="0" fontId="17" fillId="45" borderId="31" xfId="0" applyFont="1" applyFill="1" applyBorder="1" applyAlignment="1" applyProtection="1">
      <alignment horizontal="center" vertical="center" shrinkToFit="1"/>
      <protection locked="0"/>
    </xf>
    <xf numFmtId="0" fontId="21" fillId="45" borderId="31" xfId="0" applyFont="1" applyFill="1" applyBorder="1" applyAlignment="1" applyProtection="1">
      <alignment horizontal="center" vertical="center" shrinkToFit="1"/>
      <protection locked="0"/>
    </xf>
    <xf numFmtId="0" fontId="2" fillId="0" borderId="27" xfId="55" applyFont="1" applyBorder="1" applyAlignment="1">
      <alignment horizontal="center" vertical="center" wrapText="1"/>
      <protection/>
    </xf>
    <xf numFmtId="0" fontId="2" fillId="0" borderId="36" xfId="55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wrapText="1"/>
      <protection/>
    </xf>
    <xf numFmtId="0" fontId="2" fillId="0" borderId="13" xfId="55" applyFont="1" applyBorder="1" applyAlignment="1">
      <alignment horizontal="center"/>
      <protection/>
    </xf>
    <xf numFmtId="0" fontId="2" fillId="0" borderId="37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46" borderId="38" xfId="0" applyFont="1" applyFill="1" applyBorder="1" applyAlignment="1">
      <alignment horizontal="center" vertical="center" shrinkToFit="1"/>
    </xf>
    <xf numFmtId="0" fontId="3" fillId="46" borderId="35" xfId="0" applyFont="1" applyFill="1" applyBorder="1" applyAlignment="1">
      <alignment horizontal="center" vertical="center" shrinkToFit="1"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15" fillId="46" borderId="38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46" borderId="40" xfId="0" applyFont="1" applyFill="1" applyBorder="1" applyAlignment="1" applyProtection="1">
      <alignment horizontal="center" vertical="center" shrinkToFit="1"/>
      <protection locked="0"/>
    </xf>
    <xf numFmtId="0" fontId="3" fillId="46" borderId="0" xfId="0" applyFont="1" applyFill="1" applyBorder="1" applyAlignment="1" applyProtection="1">
      <alignment horizontal="center" vertical="center" shrinkToFit="1"/>
      <protection locked="0"/>
    </xf>
    <xf numFmtId="0" fontId="3" fillId="46" borderId="29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46" borderId="40" xfId="0" applyFont="1" applyFill="1" applyBorder="1" applyAlignment="1">
      <alignment horizontal="center" vertical="center" shrinkToFit="1"/>
    </xf>
    <xf numFmtId="0" fontId="3" fillId="46" borderId="0" xfId="0" applyFont="1" applyFill="1" applyBorder="1" applyAlignment="1">
      <alignment horizontal="center" vertical="center" shrinkToFit="1"/>
    </xf>
    <xf numFmtId="0" fontId="3" fillId="46" borderId="29" xfId="0" applyFont="1" applyFill="1" applyBorder="1" applyAlignment="1">
      <alignment horizontal="center" vertical="center" shrinkToFit="1"/>
    </xf>
    <xf numFmtId="0" fontId="16" fillId="1" borderId="38" xfId="0" applyFont="1" applyFill="1" applyBorder="1" applyAlignment="1">
      <alignment horizontal="center" vertical="center" shrinkToFit="1"/>
    </xf>
    <xf numFmtId="0" fontId="2" fillId="1" borderId="35" xfId="0" applyFont="1" applyFill="1" applyBorder="1" applyAlignment="1">
      <alignment horizontal="center" vertical="center" shrinkToFit="1"/>
    </xf>
    <xf numFmtId="0" fontId="9" fillId="0" borderId="0" xfId="0" applyFont="1" applyAlignment="1" applyProtection="1">
      <alignment horizontal="center" vertical="center"/>
      <protection locked="0"/>
    </xf>
    <xf numFmtId="0" fontId="3" fillId="46" borderId="41" xfId="0" applyFont="1" applyFill="1" applyBorder="1" applyAlignment="1" applyProtection="1">
      <alignment horizontal="center" vertical="center" shrinkToFit="1"/>
      <protection locked="0"/>
    </xf>
    <xf numFmtId="0" fontId="3" fillId="46" borderId="28" xfId="0" applyFont="1" applyFill="1" applyBorder="1" applyAlignment="1" applyProtection="1">
      <alignment horizontal="center" vertical="center" shrinkToFit="1"/>
      <protection locked="0"/>
    </xf>
    <xf numFmtId="0" fontId="3" fillId="46" borderId="42" xfId="0" applyFont="1" applyFill="1" applyBorder="1" applyAlignment="1" applyProtection="1">
      <alignment horizontal="center" vertical="center" shrinkToFit="1"/>
      <protection locked="0"/>
    </xf>
    <xf numFmtId="1" fontId="7" fillId="0" borderId="26" xfId="54" applyNumberFormat="1" applyFont="1" applyFill="1" applyBorder="1" applyAlignment="1" applyProtection="1">
      <alignment horizontal="center"/>
      <protection/>
    </xf>
    <xf numFmtId="1" fontId="7" fillId="0" borderId="10" xfId="54" applyNumberFormat="1" applyFont="1" applyFill="1" applyBorder="1" applyAlignment="1" applyProtection="1">
      <alignment horizontal="center"/>
      <protection/>
    </xf>
    <xf numFmtId="0" fontId="8" fillId="0" borderId="10" xfId="54" applyFont="1" applyBorder="1" applyAlignment="1" applyProtection="1">
      <alignment horizontal="center" vertical="center"/>
      <protection/>
    </xf>
    <xf numFmtId="0" fontId="8" fillId="0" borderId="13" xfId="54" applyFont="1" applyBorder="1" applyAlignment="1" applyProtection="1">
      <alignment horizontal="center" vertical="center"/>
      <protection/>
    </xf>
    <xf numFmtId="0" fontId="8" fillId="0" borderId="37" xfId="54" applyFont="1" applyBorder="1" applyAlignment="1" applyProtection="1">
      <alignment horizontal="center" vertical="center"/>
      <protection/>
    </xf>
    <xf numFmtId="0" fontId="8" fillId="0" borderId="14" xfId="54" applyFont="1" applyBorder="1" applyAlignment="1" applyProtection="1">
      <alignment horizontal="center" vertical="center"/>
      <protection/>
    </xf>
    <xf numFmtId="0" fontId="7" fillId="0" borderId="0" xfId="54" applyFont="1" applyBorder="1" applyAlignment="1" applyProtection="1">
      <alignment horizontal="center"/>
      <protection/>
    </xf>
    <xf numFmtId="0" fontId="0" fillId="10" borderId="12" xfId="54" applyFont="1" applyFill="1" applyBorder="1" applyAlignment="1" applyProtection="1">
      <alignment horizontal="center" vertical="center" shrinkToFit="1"/>
      <protection/>
    </xf>
    <xf numFmtId="0" fontId="0" fillId="10" borderId="25" xfId="54" applyFont="1" applyFill="1" applyBorder="1" applyAlignment="1" applyProtection="1">
      <alignment horizontal="center" vertical="center" shrinkToFit="1"/>
      <protection/>
    </xf>
    <xf numFmtId="0" fontId="0" fillId="10" borderId="23" xfId="54" applyFont="1" applyFill="1" applyBorder="1" applyAlignment="1" applyProtection="1">
      <alignment horizontal="center" vertical="center" shrinkToFit="1"/>
      <protection/>
    </xf>
    <xf numFmtId="0" fontId="0" fillId="10" borderId="26" xfId="54" applyFont="1" applyFill="1" applyBorder="1" applyAlignment="1" applyProtection="1">
      <alignment horizontal="center" vertical="center" shrinkToFit="1"/>
      <protection/>
    </xf>
    <xf numFmtId="1" fontId="7" fillId="0" borderId="25" xfId="54" applyNumberFormat="1" applyFont="1" applyFill="1" applyBorder="1" applyAlignment="1" applyProtection="1">
      <alignment horizontal="center"/>
      <protection/>
    </xf>
    <xf numFmtId="0" fontId="7" fillId="0" borderId="13" xfId="54" applyFont="1" applyBorder="1" applyAlignment="1" applyProtection="1">
      <alignment horizontal="center"/>
      <protection/>
    </xf>
    <xf numFmtId="0" fontId="7" fillId="0" borderId="37" xfId="54" applyFont="1" applyBorder="1" applyAlignment="1" applyProtection="1">
      <alignment horizontal="center"/>
      <protection/>
    </xf>
    <xf numFmtId="0" fontId="7" fillId="0" borderId="14" xfId="54" applyFont="1" applyBorder="1" applyAlignment="1" applyProtection="1">
      <alignment horizontal="center"/>
      <protection/>
    </xf>
    <xf numFmtId="0" fontId="13" fillId="10" borderId="25" xfId="54" applyFont="1" applyFill="1" applyBorder="1" applyAlignment="1" applyProtection="1">
      <alignment horizontal="center" vertical="center" shrinkToFit="1"/>
      <protection locked="0"/>
    </xf>
    <xf numFmtId="0" fontId="2" fillId="0" borderId="0" xfId="54" applyFont="1" applyAlignment="1" applyProtection="1">
      <alignment horizontal="center" vertical="center"/>
      <protection/>
    </xf>
    <xf numFmtId="0" fontId="9" fillId="0" borderId="0" xfId="54" applyFont="1" applyAlignment="1" applyProtection="1">
      <alignment horizontal="center" vertical="center"/>
      <protection/>
    </xf>
    <xf numFmtId="0" fontId="13" fillId="0" borderId="0" xfId="54" applyFont="1" applyAlignment="1" applyProtection="1">
      <alignment horizontal="center"/>
      <protection/>
    </xf>
    <xf numFmtId="0" fontId="13" fillId="39" borderId="26" xfId="54" applyFont="1" applyFill="1" applyBorder="1" applyAlignment="1" applyProtection="1">
      <alignment horizontal="center" vertical="center" shrinkToFit="1"/>
      <protection locked="0"/>
    </xf>
    <xf numFmtId="0" fontId="13" fillId="10" borderId="26" xfId="54" applyFont="1" applyFill="1" applyBorder="1" applyAlignment="1" applyProtection="1">
      <alignment horizontal="center" vertical="center" shrinkToFit="1"/>
      <protection locked="0"/>
    </xf>
    <xf numFmtId="0" fontId="13" fillId="0" borderId="43" xfId="54" applyFont="1" applyBorder="1" applyAlignment="1" applyProtection="1">
      <alignment horizontal="center"/>
      <protection locked="0"/>
    </xf>
    <xf numFmtId="0" fontId="13" fillId="10" borderId="25" xfId="54" applyFont="1" applyFill="1" applyBorder="1" applyAlignment="1" applyProtection="1">
      <alignment horizontal="center" shrinkToFit="1"/>
      <protection locked="0"/>
    </xf>
    <xf numFmtId="0" fontId="13" fillId="0" borderId="0" xfId="54" applyFont="1" applyBorder="1" applyAlignment="1" applyProtection="1">
      <alignment horizontal="center"/>
      <protection locked="0"/>
    </xf>
    <xf numFmtId="0" fontId="13" fillId="39" borderId="25" xfId="54" applyFont="1" applyFill="1" applyBorder="1" applyAlignment="1" applyProtection="1">
      <alignment horizontal="center" vertical="center" shrinkToFit="1"/>
      <protection locked="0"/>
    </xf>
    <xf numFmtId="0" fontId="13" fillId="0" borderId="13" xfId="54" applyFont="1" applyBorder="1" applyAlignment="1" applyProtection="1">
      <alignment horizontal="center"/>
      <protection/>
    </xf>
    <xf numFmtId="0" fontId="13" fillId="0" borderId="37" xfId="54" applyFont="1" applyBorder="1" applyAlignment="1" applyProtection="1">
      <alignment horizontal="center"/>
      <protection/>
    </xf>
    <xf numFmtId="0" fontId="13" fillId="0" borderId="14" xfId="54" applyFont="1" applyBorder="1" applyAlignment="1" applyProtection="1">
      <alignment horizontal="center"/>
      <protection/>
    </xf>
    <xf numFmtId="0" fontId="13" fillId="10" borderId="26" xfId="54" applyFont="1" applyFill="1" applyBorder="1" applyAlignment="1" applyProtection="1">
      <alignment horizontal="center" shrinkToFit="1"/>
      <protection locked="0"/>
    </xf>
    <xf numFmtId="0" fontId="13" fillId="40" borderId="25" xfId="54" applyFont="1" applyFill="1" applyBorder="1" applyAlignment="1" applyProtection="1">
      <alignment horizontal="center" vertical="center" shrinkToFit="1"/>
      <protection locked="0"/>
    </xf>
    <xf numFmtId="0" fontId="7" fillId="0" borderId="26" xfId="54" applyFont="1" applyFill="1" applyBorder="1" applyAlignment="1" applyProtection="1">
      <alignment horizontal="center"/>
      <protection/>
    </xf>
    <xf numFmtId="0" fontId="13" fillId="40" borderId="26" xfId="54" applyFont="1" applyFill="1" applyBorder="1" applyAlignment="1" applyProtection="1">
      <alignment horizontal="center" vertical="center" shrinkToFit="1"/>
      <protection locked="0"/>
    </xf>
    <xf numFmtId="0" fontId="7" fillId="0" borderId="10" xfId="54" applyFont="1" applyFill="1" applyBorder="1" applyAlignment="1" applyProtection="1">
      <alignment horizontal="center"/>
      <protection/>
    </xf>
    <xf numFmtId="0" fontId="7" fillId="0" borderId="25" xfId="54" applyFont="1" applyFill="1" applyBorder="1" applyAlignment="1" applyProtection="1">
      <alignment horizontal="center"/>
      <protection/>
    </xf>
    <xf numFmtId="0" fontId="2" fillId="0" borderId="44" xfId="54" applyFont="1" applyBorder="1" applyAlignment="1">
      <alignment horizontal="center" vertical="center" textRotation="90"/>
      <protection/>
    </xf>
    <xf numFmtId="0" fontId="2" fillId="0" borderId="45" xfId="54" applyFont="1" applyBorder="1" applyAlignment="1">
      <alignment horizontal="center" vertical="center" textRotation="90"/>
      <protection/>
    </xf>
    <xf numFmtId="0" fontId="2" fillId="0" borderId="46" xfId="54" applyFont="1" applyBorder="1" applyAlignment="1">
      <alignment horizontal="center" vertical="center" textRotation="90"/>
      <protection/>
    </xf>
    <xf numFmtId="0" fontId="12" fillId="0" borderId="44" xfId="54" applyFont="1" applyBorder="1" applyAlignment="1">
      <alignment horizontal="center" vertical="center" textRotation="90"/>
      <protection/>
    </xf>
    <xf numFmtId="0" fontId="12" fillId="0" borderId="45" xfId="54" applyFont="1" applyBorder="1" applyAlignment="1">
      <alignment horizontal="center" vertical="center" textRotation="90"/>
      <protection/>
    </xf>
    <xf numFmtId="0" fontId="12" fillId="0" borderId="46" xfId="54" applyFont="1" applyBorder="1" applyAlignment="1">
      <alignment horizontal="center" vertical="center" textRotation="90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9">
    <dxf>
      <font>
        <color indexed="27"/>
      </font>
    </dxf>
    <dxf>
      <font>
        <color theme="0"/>
      </font>
    </dxf>
    <dxf>
      <font>
        <color theme="8" tint="0.7999799847602844"/>
      </font>
    </dxf>
    <dxf>
      <font>
        <color indexed="27"/>
      </font>
    </dxf>
    <dxf>
      <font>
        <color theme="0"/>
      </font>
    </dxf>
    <dxf>
      <font>
        <color theme="8" tint="0.7999799847602844"/>
      </font>
    </dxf>
    <dxf>
      <font>
        <color theme="8" tint="0.7999799847602844"/>
      </font>
    </dxf>
    <dxf>
      <font>
        <color indexed="9"/>
      </font>
    </dxf>
    <dxf>
      <font>
        <color indexed="2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95250</xdr:rowOff>
    </xdr:from>
    <xdr:to>
      <xdr:col>2</xdr:col>
      <xdr:colOff>123825</xdr:colOff>
      <xdr:row>2</xdr:row>
      <xdr:rowOff>266700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</xdr:rowOff>
    </xdr:from>
    <xdr:to>
      <xdr:col>2</xdr:col>
      <xdr:colOff>19050</xdr:colOff>
      <xdr:row>2</xdr:row>
      <xdr:rowOff>209550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104775</xdr:rowOff>
    </xdr:from>
    <xdr:to>
      <xdr:col>2</xdr:col>
      <xdr:colOff>1266825</xdr:colOff>
      <xdr:row>0</xdr:row>
      <xdr:rowOff>981075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4775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142875</xdr:rowOff>
    </xdr:from>
    <xdr:to>
      <xdr:col>2</xdr:col>
      <xdr:colOff>1466850</xdr:colOff>
      <xdr:row>0</xdr:row>
      <xdr:rowOff>1019175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42875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180975</xdr:rowOff>
    </xdr:from>
    <xdr:to>
      <xdr:col>2</xdr:col>
      <xdr:colOff>1266825</xdr:colOff>
      <xdr:row>0</xdr:row>
      <xdr:rowOff>1057275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80975"/>
          <a:ext cx="1238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0</xdr:col>
      <xdr:colOff>1552575</xdr:colOff>
      <xdr:row>2</xdr:row>
      <xdr:rowOff>0</xdr:rowOff>
    </xdr:to>
    <xdr:pic>
      <xdr:nvPicPr>
        <xdr:cNvPr id="1" name="Image 1" descr="Hockey Subaquatique FFESSM - Logo negatif_rectangl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1238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Travail\Hockey\1DIVISIONGRA\D1%202011%202012\Manche%202%20St%20Malo\D1M2___7_Equipes-St%20Malo-3-jou&#233;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renseignements compéti"/>
      <sheetName val="Organisation"/>
      <sheetName val="Grille"/>
      <sheetName val="poules"/>
      <sheetName val="Classement"/>
      <sheetName val="Arbitres"/>
      <sheetName val="calcul"/>
    </sheetNames>
    <sheetDataSet>
      <sheetData sheetId="3">
        <row r="27">
          <cell r="O27" t="str">
            <v>HYERES</v>
          </cell>
        </row>
        <row r="28">
          <cell r="O28" t="str">
            <v>LAGNY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0000"/>
  </sheetPr>
  <dimension ref="A2:E71"/>
  <sheetViews>
    <sheetView zoomScale="80" zoomScaleNormal="80" zoomScalePageLayoutView="0" workbookViewId="0" topLeftCell="A1">
      <selection activeCell="C7" sqref="C7"/>
    </sheetView>
  </sheetViews>
  <sheetFormatPr defaultColWidth="11.421875" defaultRowHeight="12.75"/>
  <cols>
    <col min="1" max="1" width="11.421875" style="19" customWidth="1"/>
    <col min="2" max="2" width="42.57421875" style="9" customWidth="1"/>
    <col min="3" max="3" width="40.421875" style="9" customWidth="1"/>
    <col min="4" max="4" width="22.8515625" style="9" customWidth="1"/>
    <col min="5" max="5" width="11.421875" style="56" customWidth="1"/>
    <col min="6" max="16384" width="11.421875" style="9" customWidth="1"/>
  </cols>
  <sheetData>
    <row r="2" spans="1:2" ht="12.75">
      <c r="A2" s="7"/>
      <c r="B2" s="8"/>
    </row>
    <row r="3" spans="1:2" ht="12.75">
      <c r="A3" s="7"/>
      <c r="B3" s="8"/>
    </row>
    <row r="4" spans="1:3" ht="18.75" customHeight="1">
      <c r="A4" s="10">
        <v>1</v>
      </c>
      <c r="B4" s="11" t="s">
        <v>43</v>
      </c>
      <c r="C4" s="12" t="s">
        <v>330</v>
      </c>
    </row>
    <row r="5" spans="1:3" ht="15.75">
      <c r="A5" s="10">
        <v>2</v>
      </c>
      <c r="B5" s="11" t="s">
        <v>44</v>
      </c>
      <c r="C5" s="12" t="s">
        <v>57</v>
      </c>
    </row>
    <row r="6" spans="1:3" ht="15.75">
      <c r="A6" s="10">
        <v>3</v>
      </c>
      <c r="B6" s="11" t="s">
        <v>45</v>
      </c>
      <c r="C6" s="12" t="s">
        <v>331</v>
      </c>
    </row>
    <row r="7" spans="1:3" ht="15.75">
      <c r="A7" s="10">
        <v>4</v>
      </c>
      <c r="B7" s="11" t="s">
        <v>46</v>
      </c>
      <c r="C7" s="12" t="s">
        <v>332</v>
      </c>
    </row>
    <row r="8" spans="1:5" s="15" customFormat="1" ht="47.25">
      <c r="A8" s="10">
        <v>5</v>
      </c>
      <c r="B8" s="13" t="s">
        <v>47</v>
      </c>
      <c r="C8" s="14" t="s">
        <v>48</v>
      </c>
      <c r="E8" s="172"/>
    </row>
    <row r="9" spans="1:3" ht="31.5">
      <c r="A9" s="10">
        <v>6</v>
      </c>
      <c r="B9" s="11" t="s">
        <v>49</v>
      </c>
      <c r="C9" s="16">
        <v>0.02013888888888889</v>
      </c>
    </row>
    <row r="10" spans="1:3" ht="15.75">
      <c r="A10" s="10"/>
      <c r="B10" s="11"/>
      <c r="C10" s="11"/>
    </row>
    <row r="11" spans="1:3" ht="15.75">
      <c r="A11" s="10"/>
      <c r="B11" s="11"/>
      <c r="C11" s="11"/>
    </row>
    <row r="12" spans="1:2" ht="15.75">
      <c r="A12" s="17"/>
      <c r="B12" s="18"/>
    </row>
    <row r="13" spans="1:3" ht="20.25">
      <c r="A13" s="239" t="s">
        <v>269</v>
      </c>
      <c r="B13" s="239"/>
      <c r="C13" s="99"/>
    </row>
    <row r="14" spans="1:3" ht="15.75">
      <c r="A14" s="106">
        <v>1</v>
      </c>
      <c r="B14" s="101" t="s">
        <v>307</v>
      </c>
      <c r="C14" s="96"/>
    </row>
    <row r="15" spans="1:3" ht="15.75">
      <c r="A15" s="106">
        <v>2</v>
      </c>
      <c r="B15" s="101" t="s">
        <v>308</v>
      </c>
      <c r="C15" s="96"/>
    </row>
    <row r="16" spans="1:3" ht="15.75">
      <c r="A16" s="106">
        <v>3</v>
      </c>
      <c r="B16" s="101" t="s">
        <v>309</v>
      </c>
      <c r="C16" s="96"/>
    </row>
    <row r="17" spans="1:3" ht="15.75">
      <c r="A17" s="106">
        <v>4</v>
      </c>
      <c r="B17" s="101" t="s">
        <v>310</v>
      </c>
      <c r="C17" s="96"/>
    </row>
    <row r="18" spans="1:3" ht="15.75">
      <c r="A18" s="106">
        <v>5</v>
      </c>
      <c r="B18" s="102" t="s">
        <v>311</v>
      </c>
      <c r="C18" s="97"/>
    </row>
    <row r="19" spans="1:3" ht="15.75">
      <c r="A19" s="106">
        <v>6</v>
      </c>
      <c r="B19" s="102" t="s">
        <v>312</v>
      </c>
      <c r="C19" s="97"/>
    </row>
    <row r="20" spans="1:3" ht="15.75">
      <c r="A20" s="106">
        <v>7</v>
      </c>
      <c r="B20" s="102" t="s">
        <v>313</v>
      </c>
      <c r="C20" s="97"/>
    </row>
    <row r="21" spans="1:3" ht="15.75">
      <c r="A21" s="106">
        <v>8</v>
      </c>
      <c r="B21" s="102" t="s">
        <v>314</v>
      </c>
      <c r="C21" s="97"/>
    </row>
    <row r="22" spans="1:3" ht="15.75">
      <c r="A22" s="108">
        <v>9</v>
      </c>
      <c r="B22" s="103" t="s">
        <v>183</v>
      </c>
      <c r="C22" s="97"/>
    </row>
    <row r="23" spans="1:3" ht="15.75">
      <c r="A23" s="108">
        <v>10</v>
      </c>
      <c r="B23" s="103" t="s">
        <v>315</v>
      </c>
      <c r="C23" s="97"/>
    </row>
    <row r="24" ht="15">
      <c r="C24" s="98"/>
    </row>
    <row r="25" spans="1:3" ht="20.25">
      <c r="A25" s="239" t="s">
        <v>182</v>
      </c>
      <c r="B25" s="239"/>
      <c r="C25" s="98"/>
    </row>
    <row r="26" spans="1:3" ht="15.75">
      <c r="A26" s="108">
        <v>1</v>
      </c>
      <c r="B26" s="103" t="s">
        <v>324</v>
      </c>
      <c r="C26" s="98"/>
    </row>
    <row r="27" spans="1:3" ht="15.75">
      <c r="A27" s="108">
        <v>2</v>
      </c>
      <c r="B27" s="103" t="s">
        <v>325</v>
      </c>
      <c r="C27" s="98"/>
    </row>
    <row r="28" spans="1:3" ht="15.75">
      <c r="A28" s="108">
        <v>3</v>
      </c>
      <c r="B28" s="103" t="s">
        <v>326</v>
      </c>
      <c r="C28" s="98"/>
    </row>
    <row r="29" spans="1:3" ht="15.75">
      <c r="A29" s="108">
        <v>4</v>
      </c>
      <c r="B29" s="103" t="s">
        <v>327</v>
      </c>
      <c r="C29" s="98"/>
    </row>
    <row r="30" spans="1:2" ht="15.75">
      <c r="A30" s="108">
        <v>5</v>
      </c>
      <c r="B30" s="103" t="s">
        <v>328</v>
      </c>
    </row>
    <row r="31" spans="1:3" ht="15.75">
      <c r="A31" s="108">
        <v>6</v>
      </c>
      <c r="B31" s="103" t="s">
        <v>329</v>
      </c>
      <c r="C31" s="99"/>
    </row>
    <row r="32" ht="15">
      <c r="C32" s="96"/>
    </row>
    <row r="33" ht="15">
      <c r="C33" s="96"/>
    </row>
    <row r="34" spans="1:3" ht="20.25">
      <c r="A34" s="239" t="s">
        <v>267</v>
      </c>
      <c r="B34" s="239"/>
      <c r="C34" s="96"/>
    </row>
    <row r="35" spans="1:3" ht="15.75">
      <c r="A35" s="107">
        <v>1</v>
      </c>
      <c r="B35" s="105" t="s">
        <v>316</v>
      </c>
      <c r="C35" s="96"/>
    </row>
    <row r="36" spans="1:3" ht="15.75">
      <c r="A36" s="107">
        <v>2</v>
      </c>
      <c r="B36" s="105" t="s">
        <v>317</v>
      </c>
      <c r="C36" s="96"/>
    </row>
    <row r="37" spans="1:3" ht="15.75">
      <c r="A37" s="107">
        <v>3</v>
      </c>
      <c r="B37" s="105" t="s">
        <v>318</v>
      </c>
      <c r="C37" s="96"/>
    </row>
    <row r="38" spans="1:3" ht="15.75">
      <c r="A38" s="107">
        <v>4</v>
      </c>
      <c r="B38" s="105" t="s">
        <v>319</v>
      </c>
      <c r="C38" s="100"/>
    </row>
    <row r="39" spans="1:3" ht="15.75">
      <c r="A39" s="107">
        <v>5</v>
      </c>
      <c r="B39" s="105" t="s">
        <v>320</v>
      </c>
      <c r="C39" s="100"/>
    </row>
    <row r="40" spans="1:2" ht="15.75">
      <c r="A40" s="107">
        <v>6</v>
      </c>
      <c r="B40" s="105" t="s">
        <v>321</v>
      </c>
    </row>
    <row r="42" spans="1:2" ht="20.25">
      <c r="A42" s="239" t="s">
        <v>268</v>
      </c>
      <c r="B42" s="239"/>
    </row>
    <row r="43" spans="1:2" ht="15.75">
      <c r="A43" s="107">
        <v>1</v>
      </c>
      <c r="B43" s="104" t="s">
        <v>322</v>
      </c>
    </row>
    <row r="44" spans="1:2" ht="15.75">
      <c r="A44" s="107">
        <v>2</v>
      </c>
      <c r="B44" s="104" t="s">
        <v>323</v>
      </c>
    </row>
    <row r="47" spans="1:5" ht="15.75">
      <c r="A47" s="240" t="s">
        <v>286</v>
      </c>
      <c r="B47" s="241"/>
      <c r="C47" s="242"/>
      <c r="D47" s="169">
        <v>3</v>
      </c>
      <c r="E47" s="237" t="s">
        <v>288</v>
      </c>
    </row>
    <row r="48" spans="1:5" ht="15.75">
      <c r="A48" s="170"/>
      <c r="B48" s="170" t="s">
        <v>287</v>
      </c>
      <c r="C48" s="170" t="s">
        <v>178</v>
      </c>
      <c r="D48" s="170" t="s">
        <v>173</v>
      </c>
      <c r="E48" s="238"/>
    </row>
    <row r="49" spans="1:5" ht="15">
      <c r="A49" s="87">
        <v>1</v>
      </c>
      <c r="B49" s="171" t="s">
        <v>283</v>
      </c>
      <c r="C49" s="171" t="s">
        <v>191</v>
      </c>
      <c r="D49" s="171" t="s">
        <v>185</v>
      </c>
      <c r="E49" s="173">
        <v>1</v>
      </c>
    </row>
    <row r="50" spans="1:5" ht="15">
      <c r="A50" s="87">
        <v>2</v>
      </c>
      <c r="B50" s="171" t="s">
        <v>289</v>
      </c>
      <c r="C50" s="171" t="s">
        <v>280</v>
      </c>
      <c r="D50" s="171" t="s">
        <v>187</v>
      </c>
      <c r="E50" s="173">
        <v>1</v>
      </c>
    </row>
    <row r="51" spans="1:5" ht="15">
      <c r="A51" s="87">
        <v>3</v>
      </c>
      <c r="B51" s="171" t="s">
        <v>290</v>
      </c>
      <c r="C51" s="171" t="s">
        <v>192</v>
      </c>
      <c r="D51" s="171" t="s">
        <v>189</v>
      </c>
      <c r="E51" s="173">
        <v>1</v>
      </c>
    </row>
    <row r="52" spans="1:5" ht="15">
      <c r="A52" s="87">
        <v>4</v>
      </c>
      <c r="B52" s="171" t="s">
        <v>291</v>
      </c>
      <c r="C52" s="171" t="s">
        <v>281</v>
      </c>
      <c r="D52" s="171" t="s">
        <v>186</v>
      </c>
      <c r="E52" s="173">
        <v>1</v>
      </c>
    </row>
    <row r="53" spans="1:5" ht="15">
      <c r="A53" s="87">
        <v>5</v>
      </c>
      <c r="B53" s="171" t="s">
        <v>292</v>
      </c>
      <c r="C53" s="171" t="s">
        <v>284</v>
      </c>
      <c r="D53" s="171" t="s">
        <v>184</v>
      </c>
      <c r="E53" s="173">
        <v>1</v>
      </c>
    </row>
    <row r="54" spans="1:5" ht="15">
      <c r="A54" s="87">
        <v>6</v>
      </c>
      <c r="B54" s="171" t="s">
        <v>295</v>
      </c>
      <c r="C54" s="171" t="s">
        <v>193</v>
      </c>
      <c r="D54" s="171" t="s">
        <v>188</v>
      </c>
      <c r="E54" s="173">
        <v>1</v>
      </c>
    </row>
    <row r="55" spans="1:5" ht="15">
      <c r="A55" s="87">
        <v>7</v>
      </c>
      <c r="B55" s="171" t="s">
        <v>294</v>
      </c>
      <c r="C55" s="171" t="s">
        <v>282</v>
      </c>
      <c r="D55" s="171" t="s">
        <v>266</v>
      </c>
      <c r="E55" s="173">
        <v>1</v>
      </c>
    </row>
    <row r="56" spans="1:5" ht="15">
      <c r="A56" s="87">
        <v>8</v>
      </c>
      <c r="B56" s="171" t="s">
        <v>296</v>
      </c>
      <c r="C56" s="171" t="s">
        <v>193</v>
      </c>
      <c r="D56" s="171" t="s">
        <v>183</v>
      </c>
      <c r="E56" s="173">
        <v>1</v>
      </c>
    </row>
    <row r="57" spans="1:5" ht="15">
      <c r="A57" s="87">
        <v>9</v>
      </c>
      <c r="B57" s="171" t="s">
        <v>297</v>
      </c>
      <c r="C57" s="171" t="s">
        <v>285</v>
      </c>
      <c r="D57" s="171" t="s">
        <v>172</v>
      </c>
      <c r="E57" s="173">
        <v>1</v>
      </c>
    </row>
    <row r="58" spans="1:5" ht="15">
      <c r="A58" s="87">
        <v>10</v>
      </c>
      <c r="B58" s="171" t="s">
        <v>298</v>
      </c>
      <c r="C58" s="171" t="s">
        <v>191</v>
      </c>
      <c r="D58" s="171" t="s">
        <v>185</v>
      </c>
      <c r="E58" s="173">
        <v>2</v>
      </c>
    </row>
    <row r="59" spans="1:5" ht="15">
      <c r="A59" s="87">
        <v>11</v>
      </c>
      <c r="B59" s="171" t="s">
        <v>279</v>
      </c>
      <c r="C59" s="171" t="s">
        <v>280</v>
      </c>
      <c r="D59" s="171" t="s">
        <v>187</v>
      </c>
      <c r="E59" s="173">
        <v>2</v>
      </c>
    </row>
    <row r="60" spans="1:5" ht="15">
      <c r="A60" s="87">
        <v>12</v>
      </c>
      <c r="B60" s="171" t="s">
        <v>299</v>
      </c>
      <c r="C60" s="171" t="s">
        <v>192</v>
      </c>
      <c r="D60" s="171" t="s">
        <v>189</v>
      </c>
      <c r="E60" s="173">
        <v>2</v>
      </c>
    </row>
    <row r="61" spans="1:5" ht="15">
      <c r="A61" s="87">
        <v>13</v>
      </c>
      <c r="B61" s="171" t="s">
        <v>300</v>
      </c>
      <c r="C61" s="171" t="s">
        <v>281</v>
      </c>
      <c r="D61" s="171" t="s">
        <v>186</v>
      </c>
      <c r="E61" s="173">
        <v>2</v>
      </c>
    </row>
    <row r="62" spans="1:5" ht="15">
      <c r="A62" s="87">
        <v>14</v>
      </c>
      <c r="B62" s="171" t="s">
        <v>301</v>
      </c>
      <c r="C62" s="171" t="s">
        <v>284</v>
      </c>
      <c r="D62" s="171" t="s">
        <v>184</v>
      </c>
      <c r="E62" s="173">
        <v>2</v>
      </c>
    </row>
    <row r="63" spans="1:5" ht="15">
      <c r="A63" s="87">
        <v>15</v>
      </c>
      <c r="B63" s="171" t="s">
        <v>293</v>
      </c>
      <c r="C63" s="171" t="s">
        <v>193</v>
      </c>
      <c r="D63" s="171" t="s">
        <v>188</v>
      </c>
      <c r="E63" s="173">
        <v>2</v>
      </c>
    </row>
    <row r="64" spans="1:5" ht="15">
      <c r="A64" s="87">
        <v>16</v>
      </c>
      <c r="B64" s="171" t="s">
        <v>302</v>
      </c>
      <c r="C64" s="171" t="s">
        <v>282</v>
      </c>
      <c r="D64" s="171" t="s">
        <v>266</v>
      </c>
      <c r="E64" s="173">
        <v>2</v>
      </c>
    </row>
    <row r="65" spans="1:5" ht="15">
      <c r="A65" s="87">
        <v>17</v>
      </c>
      <c r="B65" s="171" t="s">
        <v>303</v>
      </c>
      <c r="C65" s="171" t="s">
        <v>193</v>
      </c>
      <c r="D65" s="171" t="s">
        <v>183</v>
      </c>
      <c r="E65" s="173">
        <v>2</v>
      </c>
    </row>
    <row r="66" spans="1:5" ht="15">
      <c r="A66" s="87">
        <v>18</v>
      </c>
      <c r="B66" s="171" t="s">
        <v>304</v>
      </c>
      <c r="C66" s="171" t="s">
        <v>285</v>
      </c>
      <c r="D66" s="171" t="s">
        <v>172</v>
      </c>
      <c r="E66" s="173">
        <v>2</v>
      </c>
    </row>
    <row r="67" spans="1:5" ht="15">
      <c r="A67" s="87">
        <v>19</v>
      </c>
      <c r="B67" s="171"/>
      <c r="C67" s="171"/>
      <c r="D67" s="171"/>
      <c r="E67" s="173"/>
    </row>
    <row r="68" spans="1:5" ht="15">
      <c r="A68" s="87">
        <v>20</v>
      </c>
      <c r="B68" s="171"/>
      <c r="C68" s="171"/>
      <c r="D68" s="171"/>
      <c r="E68" s="173"/>
    </row>
    <row r="69" spans="1:5" ht="15">
      <c r="A69" s="87">
        <v>21</v>
      </c>
      <c r="B69" s="171"/>
      <c r="C69" s="171"/>
      <c r="D69" s="171"/>
      <c r="E69" s="173"/>
    </row>
    <row r="70" spans="1:5" ht="15">
      <c r="A70" s="87">
        <v>22</v>
      </c>
      <c r="B70" s="171"/>
      <c r="C70" s="171"/>
      <c r="D70" s="171"/>
      <c r="E70" s="173"/>
    </row>
    <row r="71" spans="1:5" ht="15">
      <c r="A71" s="87">
        <v>23</v>
      </c>
      <c r="B71" s="171"/>
      <c r="C71" s="171"/>
      <c r="D71" s="171"/>
      <c r="E71" s="173"/>
    </row>
  </sheetData>
  <sheetProtection/>
  <mergeCells count="6">
    <mergeCell ref="E47:E48"/>
    <mergeCell ref="A13:B13"/>
    <mergeCell ref="A25:B25"/>
    <mergeCell ref="A34:B34"/>
    <mergeCell ref="A42:B42"/>
    <mergeCell ref="A47:C47"/>
  </mergeCells>
  <dataValidations count="2">
    <dataValidation type="list" allowBlank="1" showInputMessage="1" showErrorMessage="1" sqref="D47">
      <formula1>"0,2,3,4"</formula1>
    </dataValidation>
    <dataValidation type="list" allowBlank="1" showInputMessage="1" showErrorMessage="1" sqref="E49:E71">
      <formula1>",1,2"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R79"/>
  <sheetViews>
    <sheetView tabSelected="1" zoomScalePageLayoutView="0" workbookViewId="0" topLeftCell="A1">
      <selection activeCell="J78" sqref="J78"/>
    </sheetView>
  </sheetViews>
  <sheetFormatPr defaultColWidth="11.421875" defaultRowHeight="12.75"/>
  <cols>
    <col min="2" max="2" width="8.7109375" style="4" customWidth="1"/>
    <col min="3" max="3" width="3.7109375" style="0" customWidth="1"/>
    <col min="4" max="4" width="26.7109375" style="0" customWidth="1"/>
    <col min="5" max="5" width="6.7109375" style="0" customWidth="1"/>
    <col min="6" max="6" width="1.7109375" style="0" customWidth="1"/>
    <col min="7" max="8" width="7.7109375" style="1" customWidth="1"/>
    <col min="9" max="9" width="1.7109375" style="0" customWidth="1"/>
    <col min="10" max="10" width="6.28125" style="0" customWidth="1"/>
    <col min="11" max="11" width="26.7109375" style="0" customWidth="1"/>
    <col min="12" max="12" width="1.7109375" style="0" customWidth="1"/>
    <col min="13" max="15" width="17.7109375" style="3" customWidth="1"/>
    <col min="16" max="17" width="2.7109375" style="0" customWidth="1"/>
    <col min="18" max="18" width="4.8515625" style="0" customWidth="1"/>
  </cols>
  <sheetData>
    <row r="1" spans="6:15" s="88" customFormat="1" ht="27.75" customHeight="1">
      <c r="F1" s="89"/>
      <c r="G1" s="90" t="s">
        <v>51</v>
      </c>
      <c r="H1" s="91"/>
      <c r="I1" s="257" t="str">
        <f>saison</f>
        <v>2021-2022</v>
      </c>
      <c r="J1" s="257"/>
      <c r="K1" s="257"/>
      <c r="L1" s="257"/>
      <c r="M1" s="257"/>
      <c r="N1" s="257"/>
      <c r="O1" s="257"/>
    </row>
    <row r="2" spans="6:15" s="88" customFormat="1" ht="27.75" customHeight="1">
      <c r="F2" s="89"/>
      <c r="G2" s="243" t="s">
        <v>52</v>
      </c>
      <c r="H2" s="244"/>
      <c r="I2" s="247" t="str">
        <f>lieu</f>
        <v>Laval</v>
      </c>
      <c r="J2" s="248"/>
      <c r="K2" s="248"/>
      <c r="L2" s="248"/>
      <c r="M2" s="248"/>
      <c r="N2" s="248"/>
      <c r="O2" s="248"/>
    </row>
    <row r="3" spans="11:15" s="91" customFormat="1" ht="34.5" customHeight="1">
      <c r="K3" s="258" t="s">
        <v>174</v>
      </c>
      <c r="L3" s="258"/>
      <c r="M3" s="258"/>
      <c r="N3" s="258"/>
      <c r="O3" s="258"/>
    </row>
    <row r="4" spans="1:15" s="91" customFormat="1" ht="21" customHeight="1">
      <c r="A4" s="90" t="s">
        <v>53</v>
      </c>
      <c r="B4" s="247" t="str">
        <f>date</f>
        <v>4-5 et 6 Juin 2022</v>
      </c>
      <c r="C4" s="248"/>
      <c r="D4" s="248"/>
      <c r="E4" s="248"/>
      <c r="F4" s="248"/>
      <c r="G4" s="248"/>
      <c r="H4" s="248"/>
      <c r="I4" s="249"/>
      <c r="J4" s="243" t="s">
        <v>54</v>
      </c>
      <c r="K4" s="243"/>
      <c r="L4" s="244"/>
      <c r="M4" s="247" t="str">
        <f>catégorie</f>
        <v>Division 1 Manche 3</v>
      </c>
      <c r="N4" s="248"/>
      <c r="O4" s="249"/>
    </row>
    <row r="5" spans="1:17" s="88" customFormat="1" ht="18" customHeight="1">
      <c r="A5" s="264" t="s">
        <v>55</v>
      </c>
      <c r="B5" s="264"/>
      <c r="C5" s="264"/>
      <c r="D5" s="253" t="str">
        <f>duréematch</f>
        <v>2*11' +2' de mi-temps +1' temps mort par  équipe +3' inter-match = 29'</v>
      </c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94"/>
      <c r="Q5" s="94"/>
    </row>
    <row r="6" spans="2:17" s="88" customFormat="1" ht="8.25" customHeight="1" thickBot="1">
      <c r="B6" s="92"/>
      <c r="C6" s="92"/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</row>
    <row r="7" spans="1:15" s="2" customFormat="1" ht="21.75" customHeight="1" thickBot="1" thickTop="1">
      <c r="A7" s="174"/>
      <c r="B7" s="174"/>
      <c r="C7" s="175"/>
      <c r="D7" s="245" t="s">
        <v>13</v>
      </c>
      <c r="E7" s="246"/>
      <c r="F7" s="176"/>
      <c r="G7" s="245" t="s">
        <v>14</v>
      </c>
      <c r="H7" s="246"/>
      <c r="I7" s="176"/>
      <c r="J7" s="245" t="s">
        <v>12</v>
      </c>
      <c r="K7" s="246"/>
      <c r="L7" s="176"/>
      <c r="M7" s="250" t="s">
        <v>175</v>
      </c>
      <c r="N7" s="251"/>
      <c r="O7" s="252"/>
    </row>
    <row r="8" spans="1:15" s="2" customFormat="1" ht="21.75" customHeight="1" thickBot="1" thickTop="1">
      <c r="A8" s="177" t="s">
        <v>176</v>
      </c>
      <c r="B8" s="177" t="s">
        <v>0</v>
      </c>
      <c r="C8" s="178" t="s">
        <v>6</v>
      </c>
      <c r="D8" s="178" t="s">
        <v>4</v>
      </c>
      <c r="E8" s="178" t="s">
        <v>5</v>
      </c>
      <c r="F8" s="179" t="s">
        <v>179</v>
      </c>
      <c r="G8" s="178" t="s">
        <v>1</v>
      </c>
      <c r="H8" s="178" t="s">
        <v>2</v>
      </c>
      <c r="I8" s="180" t="s">
        <v>180</v>
      </c>
      <c r="J8" s="178" t="s">
        <v>5</v>
      </c>
      <c r="K8" s="178" t="s">
        <v>3</v>
      </c>
      <c r="L8" s="181"/>
      <c r="M8" s="182" t="s">
        <v>306</v>
      </c>
      <c r="N8" s="262" t="s">
        <v>177</v>
      </c>
      <c r="O8" s="263"/>
    </row>
    <row r="9" spans="1:18" s="2" customFormat="1" ht="16.5" customHeight="1" thickBot="1" thickTop="1">
      <c r="A9" s="183" t="s">
        <v>7</v>
      </c>
      <c r="B9" s="184">
        <v>0.3958333333333333</v>
      </c>
      <c r="C9" s="185">
        <v>101</v>
      </c>
      <c r="D9" s="186" t="str">
        <f>EQ1A</f>
        <v>Rennes</v>
      </c>
      <c r="E9" s="186" t="s">
        <v>8</v>
      </c>
      <c r="F9" s="187"/>
      <c r="G9" s="188">
        <v>0</v>
      </c>
      <c r="H9" s="188">
        <v>0</v>
      </c>
      <c r="I9" s="187"/>
      <c r="J9" s="186" t="s">
        <v>11</v>
      </c>
      <c r="K9" s="186" t="str">
        <f>EQ1B</f>
        <v>Moirans</v>
      </c>
      <c r="L9" s="181"/>
      <c r="M9" s="219"/>
      <c r="N9" s="220"/>
      <c r="O9" s="220"/>
      <c r="R9"/>
    </row>
    <row r="10" spans="1:18" s="2" customFormat="1" ht="16.5" customHeight="1" thickBot="1" thickTop="1">
      <c r="A10" s="183" t="s">
        <v>7</v>
      </c>
      <c r="B10" s="184">
        <f aca="true" t="shared" si="0" ref="B10:B32">B9+durée1</f>
        <v>0.4159722222222222</v>
      </c>
      <c r="C10" s="185">
        <v>102</v>
      </c>
      <c r="D10" s="186" t="str">
        <f>EQ1C</f>
        <v>Dinan</v>
      </c>
      <c r="E10" s="186" t="s">
        <v>24</v>
      </c>
      <c r="F10" s="187"/>
      <c r="G10" s="188">
        <v>2</v>
      </c>
      <c r="H10" s="188">
        <v>1</v>
      </c>
      <c r="I10" s="187"/>
      <c r="J10" s="186" t="s">
        <v>26</v>
      </c>
      <c r="K10" s="186" t="str">
        <f>EQ1D</f>
        <v>Fontenay</v>
      </c>
      <c r="L10" s="189"/>
      <c r="M10" s="221"/>
      <c r="N10" s="220"/>
      <c r="O10" s="220"/>
      <c r="R10"/>
    </row>
    <row r="11" spans="1:18" s="2" customFormat="1" ht="16.5" customHeight="1" thickBot="1" thickTop="1">
      <c r="A11" s="183" t="s">
        <v>7</v>
      </c>
      <c r="B11" s="184">
        <f t="shared" si="0"/>
        <v>0.43611111111111106</v>
      </c>
      <c r="C11" s="185">
        <v>103</v>
      </c>
      <c r="D11" s="186" t="str">
        <f>EQ1E</f>
        <v>Pontoise</v>
      </c>
      <c r="E11" s="186" t="s">
        <v>22</v>
      </c>
      <c r="F11" s="187"/>
      <c r="G11" s="188">
        <v>4</v>
      </c>
      <c r="H11" s="188">
        <v>1</v>
      </c>
      <c r="I11" s="187"/>
      <c r="J11" s="186" t="s">
        <v>50</v>
      </c>
      <c r="K11" s="186" t="str">
        <f>EQ1F</f>
        <v>Diderot XII</v>
      </c>
      <c r="L11" s="189"/>
      <c r="M11" s="219"/>
      <c r="N11" s="220"/>
      <c r="O11" s="220"/>
      <c r="R11"/>
    </row>
    <row r="12" spans="1:18" s="2" customFormat="1" ht="16.5" customHeight="1" thickBot="1" thickTop="1">
      <c r="A12" s="183" t="s">
        <v>7</v>
      </c>
      <c r="B12" s="184">
        <f t="shared" si="0"/>
        <v>0.45624999999999993</v>
      </c>
      <c r="C12" s="185">
        <v>104</v>
      </c>
      <c r="D12" s="186" t="str">
        <f>EQ1G</f>
        <v>Franconville</v>
      </c>
      <c r="E12" s="186" t="s">
        <v>23</v>
      </c>
      <c r="F12" s="187"/>
      <c r="G12" s="188">
        <v>4</v>
      </c>
      <c r="H12" s="188">
        <v>1</v>
      </c>
      <c r="I12" s="187"/>
      <c r="J12" s="186" t="s">
        <v>25</v>
      </c>
      <c r="K12" s="186" t="str">
        <f>EQ1H</f>
        <v>Le Chesnay</v>
      </c>
      <c r="L12" s="189"/>
      <c r="M12" s="219"/>
      <c r="N12" s="222"/>
      <c r="O12" s="220"/>
      <c r="R12"/>
    </row>
    <row r="13" spans="1:18" s="2" customFormat="1" ht="16.5" customHeight="1" thickBot="1" thickTop="1">
      <c r="A13" s="183" t="s">
        <v>7</v>
      </c>
      <c r="B13" s="184">
        <f t="shared" si="0"/>
        <v>0.4763888888888888</v>
      </c>
      <c r="C13" s="185">
        <v>105</v>
      </c>
      <c r="D13" s="190" t="str">
        <f>EQ2A</f>
        <v>PESSAC</v>
      </c>
      <c r="E13" s="190" t="s">
        <v>15</v>
      </c>
      <c r="F13" s="191"/>
      <c r="G13" s="192">
        <v>2</v>
      </c>
      <c r="H13" s="192">
        <v>0</v>
      </c>
      <c r="I13" s="191"/>
      <c r="J13" s="193" t="s">
        <v>10</v>
      </c>
      <c r="K13" s="194" t="str">
        <f>EQ2B</f>
        <v>Saintes</v>
      </c>
      <c r="L13" s="189"/>
      <c r="M13" s="223"/>
      <c r="N13" s="222"/>
      <c r="O13" s="220"/>
      <c r="R13"/>
    </row>
    <row r="14" spans="1:18" s="2" customFormat="1" ht="16.5" customHeight="1" thickBot="1" thickTop="1">
      <c r="A14" s="183" t="s">
        <v>7</v>
      </c>
      <c r="B14" s="184">
        <f t="shared" si="0"/>
        <v>0.4965277777777777</v>
      </c>
      <c r="C14" s="185">
        <v>106</v>
      </c>
      <c r="D14" s="190" t="str">
        <f>EQ2C</f>
        <v>Clamart</v>
      </c>
      <c r="E14" s="190" t="s">
        <v>17</v>
      </c>
      <c r="F14" s="191"/>
      <c r="G14" s="192">
        <v>6</v>
      </c>
      <c r="H14" s="192">
        <v>2</v>
      </c>
      <c r="I14" s="191"/>
      <c r="J14" s="193" t="s">
        <v>18</v>
      </c>
      <c r="K14" s="194" t="str">
        <f>EQ2D</f>
        <v>Nantes</v>
      </c>
      <c r="L14" s="189"/>
      <c r="M14" s="224"/>
      <c r="N14" s="222"/>
      <c r="O14" s="222"/>
      <c r="R14"/>
    </row>
    <row r="15" spans="1:18" s="2" customFormat="1" ht="16.5" customHeight="1" thickBot="1" thickTop="1">
      <c r="A15" s="183" t="s">
        <v>7</v>
      </c>
      <c r="B15" s="184">
        <f t="shared" si="0"/>
        <v>0.5166666666666666</v>
      </c>
      <c r="C15" s="185">
        <v>107</v>
      </c>
      <c r="D15" s="186" t="str">
        <f>EQ1B</f>
        <v>Moirans</v>
      </c>
      <c r="E15" s="186" t="s">
        <v>11</v>
      </c>
      <c r="F15" s="187"/>
      <c r="G15" s="188">
        <v>1</v>
      </c>
      <c r="H15" s="188">
        <v>1</v>
      </c>
      <c r="I15" s="187"/>
      <c r="J15" s="186" t="s">
        <v>26</v>
      </c>
      <c r="K15" s="186" t="str">
        <f>EQ1D</f>
        <v>Fontenay</v>
      </c>
      <c r="L15" s="189"/>
      <c r="M15" s="223"/>
      <c r="N15" s="220"/>
      <c r="O15" s="220"/>
      <c r="R15"/>
    </row>
    <row r="16" spans="1:18" s="2" customFormat="1" ht="16.5" customHeight="1" thickBot="1" thickTop="1">
      <c r="A16" s="183" t="s">
        <v>7</v>
      </c>
      <c r="B16" s="184">
        <f t="shared" si="0"/>
        <v>0.5368055555555555</v>
      </c>
      <c r="C16" s="185">
        <v>108</v>
      </c>
      <c r="D16" s="186" t="str">
        <f>EQ1E</f>
        <v>Pontoise</v>
      </c>
      <c r="E16" s="186" t="s">
        <v>22</v>
      </c>
      <c r="F16" s="187"/>
      <c r="G16" s="188">
        <v>2</v>
      </c>
      <c r="H16" s="188">
        <v>1</v>
      </c>
      <c r="I16" s="187"/>
      <c r="J16" s="186" t="s">
        <v>23</v>
      </c>
      <c r="K16" s="186" t="str">
        <f>EQ1G</f>
        <v>Franconville</v>
      </c>
      <c r="L16" s="189"/>
      <c r="M16" s="219"/>
      <c r="N16" s="220"/>
      <c r="O16" s="222"/>
      <c r="R16"/>
    </row>
    <row r="17" spans="1:15" s="2" customFormat="1" ht="16.5" customHeight="1" thickBot="1" thickTop="1">
      <c r="A17" s="183" t="s">
        <v>7</v>
      </c>
      <c r="B17" s="184">
        <f t="shared" si="0"/>
        <v>0.5569444444444445</v>
      </c>
      <c r="C17" s="185"/>
      <c r="D17" s="259" t="s">
        <v>16</v>
      </c>
      <c r="E17" s="260"/>
      <c r="F17" s="260"/>
      <c r="G17" s="260"/>
      <c r="H17" s="260"/>
      <c r="I17" s="260"/>
      <c r="J17" s="260"/>
      <c r="K17" s="261"/>
      <c r="L17" s="189"/>
      <c r="M17" s="219" t="s">
        <v>305</v>
      </c>
      <c r="N17" s="220" t="s">
        <v>305</v>
      </c>
      <c r="O17" s="220" t="s">
        <v>305</v>
      </c>
    </row>
    <row r="18" spans="1:15" s="2" customFormat="1" ht="16.5" customHeight="1" thickBot="1" thickTop="1">
      <c r="A18" s="183" t="s">
        <v>7</v>
      </c>
      <c r="B18" s="184">
        <f t="shared" si="0"/>
        <v>0.5770833333333334</v>
      </c>
      <c r="C18" s="185">
        <v>109</v>
      </c>
      <c r="D18" s="186" t="str">
        <f>EQ1A</f>
        <v>Rennes</v>
      </c>
      <c r="E18" s="186" t="s">
        <v>8</v>
      </c>
      <c r="F18" s="187"/>
      <c r="G18" s="188">
        <v>0</v>
      </c>
      <c r="H18" s="188">
        <v>2</v>
      </c>
      <c r="I18" s="187"/>
      <c r="J18" s="186" t="s">
        <v>24</v>
      </c>
      <c r="K18" s="186" t="str">
        <f>EQ1C</f>
        <v>Dinan</v>
      </c>
      <c r="L18" s="189"/>
      <c r="M18" s="219"/>
      <c r="N18" s="220"/>
      <c r="O18" s="222"/>
    </row>
    <row r="19" spans="1:15" s="2" customFormat="1" ht="16.5" customHeight="1" thickBot="1" thickTop="1">
      <c r="A19" s="183" t="s">
        <v>7</v>
      </c>
      <c r="B19" s="184">
        <f t="shared" si="0"/>
        <v>0.5972222222222223</v>
      </c>
      <c r="C19" s="185">
        <v>110</v>
      </c>
      <c r="D19" s="186" t="str">
        <f>EQ1F</f>
        <v>Diderot XII</v>
      </c>
      <c r="E19" s="186" t="s">
        <v>50</v>
      </c>
      <c r="F19" s="187"/>
      <c r="G19" s="188">
        <v>1</v>
      </c>
      <c r="H19" s="188">
        <v>2</v>
      </c>
      <c r="I19" s="187"/>
      <c r="J19" s="186" t="s">
        <v>25</v>
      </c>
      <c r="K19" s="186" t="str">
        <f>EQ1H</f>
        <v>Le Chesnay</v>
      </c>
      <c r="L19" s="189"/>
      <c r="M19" s="221"/>
      <c r="N19" s="220"/>
      <c r="O19" s="220"/>
    </row>
    <row r="20" spans="1:15" s="2" customFormat="1" ht="16.5" customHeight="1" thickBot="1" thickTop="1">
      <c r="A20" s="183" t="s">
        <v>7</v>
      </c>
      <c r="B20" s="184">
        <f t="shared" si="0"/>
        <v>0.6173611111111112</v>
      </c>
      <c r="C20" s="185">
        <v>111</v>
      </c>
      <c r="D20" s="190" t="str">
        <f>EQ2A</f>
        <v>PESSAC</v>
      </c>
      <c r="E20" s="190" t="s">
        <v>15</v>
      </c>
      <c r="F20" s="191"/>
      <c r="G20" s="192">
        <v>1</v>
      </c>
      <c r="H20" s="192">
        <v>0</v>
      </c>
      <c r="I20" s="191"/>
      <c r="J20" s="193" t="s">
        <v>17</v>
      </c>
      <c r="K20" s="194" t="str">
        <f>EQ2C</f>
        <v>Clamart</v>
      </c>
      <c r="L20" s="189"/>
      <c r="M20" s="219"/>
      <c r="N20" s="220"/>
      <c r="O20" s="220"/>
    </row>
    <row r="21" spans="1:15" s="2" customFormat="1" ht="16.5" customHeight="1" thickBot="1" thickTop="1">
      <c r="A21" s="183" t="s">
        <v>7</v>
      </c>
      <c r="B21" s="184">
        <f t="shared" si="0"/>
        <v>0.6375000000000002</v>
      </c>
      <c r="C21" s="185">
        <v>112</v>
      </c>
      <c r="D21" s="190" t="str">
        <f>EQ2B</f>
        <v>Saintes</v>
      </c>
      <c r="E21" s="190" t="s">
        <v>10</v>
      </c>
      <c r="F21" s="191"/>
      <c r="G21" s="192">
        <v>3</v>
      </c>
      <c r="H21" s="192">
        <v>2</v>
      </c>
      <c r="I21" s="191"/>
      <c r="J21" s="193" t="s">
        <v>18</v>
      </c>
      <c r="K21" s="194" t="str">
        <f>EQ2D</f>
        <v>Nantes</v>
      </c>
      <c r="L21" s="189"/>
      <c r="M21" s="219"/>
      <c r="N21" s="220"/>
      <c r="O21" s="220"/>
    </row>
    <row r="22" spans="1:15" s="2" customFormat="1" ht="16.5" customHeight="1" thickBot="1" thickTop="1">
      <c r="A22" s="183" t="s">
        <v>7</v>
      </c>
      <c r="B22" s="184">
        <f t="shared" si="0"/>
        <v>0.6576388888888891</v>
      </c>
      <c r="C22" s="185">
        <v>113</v>
      </c>
      <c r="D22" s="186" t="str">
        <f>EQ1D</f>
        <v>Fontenay</v>
      </c>
      <c r="E22" s="186" t="s">
        <v>26</v>
      </c>
      <c r="F22" s="187"/>
      <c r="G22" s="188">
        <v>2</v>
      </c>
      <c r="H22" s="188">
        <v>0</v>
      </c>
      <c r="I22" s="187"/>
      <c r="J22" s="186" t="s">
        <v>8</v>
      </c>
      <c r="K22" s="186" t="str">
        <f>EQ1A</f>
        <v>Rennes</v>
      </c>
      <c r="L22" s="189"/>
      <c r="M22" s="219"/>
      <c r="N22" s="220"/>
      <c r="O22" s="220"/>
    </row>
    <row r="23" spans="1:15" s="2" customFormat="1" ht="16.5" customHeight="1" thickBot="1" thickTop="1">
      <c r="A23" s="183" t="s">
        <v>7</v>
      </c>
      <c r="B23" s="184">
        <f t="shared" si="0"/>
        <v>0.677777777777778</v>
      </c>
      <c r="C23" s="185">
        <v>114</v>
      </c>
      <c r="D23" s="186" t="str">
        <f>EQ1B</f>
        <v>Moirans</v>
      </c>
      <c r="E23" s="186" t="s">
        <v>11</v>
      </c>
      <c r="F23" s="187"/>
      <c r="G23" s="188">
        <v>2</v>
      </c>
      <c r="H23" s="188">
        <v>3</v>
      </c>
      <c r="I23" s="187"/>
      <c r="J23" s="186" t="s">
        <v>22</v>
      </c>
      <c r="K23" s="186" t="str">
        <f>EQ1E</f>
        <v>Pontoise</v>
      </c>
      <c r="L23" s="189"/>
      <c r="M23" s="221"/>
      <c r="N23" s="220"/>
      <c r="O23" s="220"/>
    </row>
    <row r="24" spans="1:15" s="2" customFormat="1" ht="16.5" customHeight="1" thickBot="1" thickTop="1">
      <c r="A24" s="183" t="s">
        <v>7</v>
      </c>
      <c r="B24" s="184">
        <f t="shared" si="0"/>
        <v>0.697916666666667</v>
      </c>
      <c r="C24" s="185">
        <v>115</v>
      </c>
      <c r="D24" s="186" t="str">
        <f>EQ1F</f>
        <v>Diderot XII</v>
      </c>
      <c r="E24" s="186" t="s">
        <v>50</v>
      </c>
      <c r="F24" s="187"/>
      <c r="G24" s="188">
        <v>0</v>
      </c>
      <c r="H24" s="188">
        <v>3</v>
      </c>
      <c r="I24" s="187"/>
      <c r="J24" s="186" t="s">
        <v>23</v>
      </c>
      <c r="K24" s="186" t="str">
        <f>EQ1G</f>
        <v>Franconville</v>
      </c>
      <c r="L24" s="189"/>
      <c r="M24" s="219"/>
      <c r="N24" s="220"/>
      <c r="O24" s="220"/>
    </row>
    <row r="25" spans="1:15" s="2" customFormat="1" ht="16.5" customHeight="1" thickBot="1" thickTop="1">
      <c r="A25" s="183" t="s">
        <v>7</v>
      </c>
      <c r="B25" s="184">
        <f t="shared" si="0"/>
        <v>0.7180555555555559</v>
      </c>
      <c r="C25" s="185">
        <v>116</v>
      </c>
      <c r="D25" s="186" t="str">
        <f>EQ1H</f>
        <v>Le Chesnay</v>
      </c>
      <c r="E25" s="186" t="s">
        <v>25</v>
      </c>
      <c r="F25" s="187"/>
      <c r="G25" s="188">
        <v>0</v>
      </c>
      <c r="H25" s="188">
        <v>4</v>
      </c>
      <c r="I25" s="187"/>
      <c r="J25" s="186" t="s">
        <v>24</v>
      </c>
      <c r="K25" s="186" t="str">
        <f>EQ1C</f>
        <v>Dinan</v>
      </c>
      <c r="L25" s="189"/>
      <c r="M25" s="219"/>
      <c r="N25" s="220"/>
      <c r="O25" s="220"/>
    </row>
    <row r="26" spans="1:15" s="2" customFormat="1" ht="16.5" customHeight="1" thickBot="1" thickTop="1">
      <c r="A26" s="183" t="s">
        <v>7</v>
      </c>
      <c r="B26" s="184">
        <f t="shared" si="0"/>
        <v>0.7381944444444448</v>
      </c>
      <c r="C26" s="185">
        <v>117</v>
      </c>
      <c r="D26" s="190" t="str">
        <f>EQ2D</f>
        <v>Nantes</v>
      </c>
      <c r="E26" s="190" t="s">
        <v>18</v>
      </c>
      <c r="F26" s="191"/>
      <c r="G26" s="192">
        <v>1</v>
      </c>
      <c r="H26" s="192">
        <v>2</v>
      </c>
      <c r="I26" s="191"/>
      <c r="J26" s="193" t="s">
        <v>9</v>
      </c>
      <c r="K26" s="194" t="str">
        <f>EQ2A</f>
        <v>PESSAC</v>
      </c>
      <c r="L26" s="189"/>
      <c r="M26" s="219"/>
      <c r="N26" s="220"/>
      <c r="O26" s="220"/>
    </row>
    <row r="27" spans="1:15" s="2" customFormat="1" ht="16.5" customHeight="1" thickBot="1" thickTop="1">
      <c r="A27" s="183" t="s">
        <v>7</v>
      </c>
      <c r="B27" s="184">
        <f t="shared" si="0"/>
        <v>0.7583333333333337</v>
      </c>
      <c r="C27" s="185">
        <v>118</v>
      </c>
      <c r="D27" s="190" t="str">
        <f>EQ2B</f>
        <v>Saintes</v>
      </c>
      <c r="E27" s="190" t="s">
        <v>10</v>
      </c>
      <c r="F27" s="191"/>
      <c r="G27" s="192">
        <v>3</v>
      </c>
      <c r="H27" s="192">
        <v>2</v>
      </c>
      <c r="I27" s="191"/>
      <c r="J27" s="193" t="s">
        <v>19</v>
      </c>
      <c r="K27" s="194" t="str">
        <f>EQ2E</f>
        <v>Le Puy en Velay</v>
      </c>
      <c r="L27" s="189"/>
      <c r="M27" s="221"/>
      <c r="N27" s="220"/>
      <c r="O27" s="220"/>
    </row>
    <row r="28" spans="1:15" s="2" customFormat="1" ht="16.5" customHeight="1" thickBot="1" thickTop="1">
      <c r="A28" s="183" t="s">
        <v>7</v>
      </c>
      <c r="B28" s="184">
        <f t="shared" si="0"/>
        <v>0.7784722222222227</v>
      </c>
      <c r="C28" s="185">
        <v>119</v>
      </c>
      <c r="D28" s="190" t="str">
        <f>EQ2F</f>
        <v>HOPE</v>
      </c>
      <c r="E28" s="190" t="s">
        <v>58</v>
      </c>
      <c r="F28" s="191"/>
      <c r="G28" s="192">
        <v>1</v>
      </c>
      <c r="H28" s="192">
        <v>1</v>
      </c>
      <c r="I28" s="191"/>
      <c r="J28" s="193" t="s">
        <v>21</v>
      </c>
      <c r="K28" s="194" t="str">
        <f>EQ2G</f>
        <v>Clermont Ferrand</v>
      </c>
      <c r="L28" s="189"/>
      <c r="M28" s="219"/>
      <c r="N28" s="220"/>
      <c r="O28" s="220"/>
    </row>
    <row r="29" spans="1:15" s="2" customFormat="1" ht="16.5" customHeight="1" thickBot="1" thickTop="1">
      <c r="A29" s="183" t="s">
        <v>7</v>
      </c>
      <c r="B29" s="184">
        <f t="shared" si="0"/>
        <v>0.7986111111111116</v>
      </c>
      <c r="C29" s="185">
        <v>120</v>
      </c>
      <c r="D29" s="190" t="str">
        <f>EQ2C</f>
        <v>Clamart</v>
      </c>
      <c r="E29" s="190" t="s">
        <v>17</v>
      </c>
      <c r="F29" s="191"/>
      <c r="G29" s="192">
        <v>4</v>
      </c>
      <c r="H29" s="192">
        <v>0</v>
      </c>
      <c r="I29" s="191"/>
      <c r="J29" s="193" t="s">
        <v>20</v>
      </c>
      <c r="K29" s="194" t="str">
        <f>EQ2H</f>
        <v>Morlaix</v>
      </c>
      <c r="L29" s="189"/>
      <c r="M29" s="219"/>
      <c r="N29" s="220"/>
      <c r="O29" s="220"/>
    </row>
    <row r="30" spans="1:15" s="2" customFormat="1" ht="16.5" customHeight="1" thickBot="1" thickTop="1">
      <c r="A30" s="183" t="s">
        <v>7</v>
      </c>
      <c r="B30" s="184">
        <f t="shared" si="0"/>
        <v>0.8187500000000005</v>
      </c>
      <c r="C30" s="185">
        <v>121</v>
      </c>
      <c r="D30" s="190" t="str">
        <f>EQ2A</f>
        <v>PESSAC</v>
      </c>
      <c r="E30" s="190" t="s">
        <v>9</v>
      </c>
      <c r="F30" s="191"/>
      <c r="G30" s="192">
        <v>2</v>
      </c>
      <c r="H30" s="192">
        <v>1</v>
      </c>
      <c r="I30" s="191"/>
      <c r="J30" s="193" t="s">
        <v>19</v>
      </c>
      <c r="K30" s="194" t="str">
        <f>EQ2E</f>
        <v>Le Puy en Velay</v>
      </c>
      <c r="L30" s="189"/>
      <c r="M30" s="219"/>
      <c r="N30" s="220"/>
      <c r="O30" s="220"/>
    </row>
    <row r="31" spans="1:15" s="2" customFormat="1" ht="16.5" customHeight="1" thickBot="1" thickTop="1">
      <c r="A31" s="183" t="s">
        <v>7</v>
      </c>
      <c r="B31" s="184">
        <f t="shared" si="0"/>
        <v>0.8388888888888895</v>
      </c>
      <c r="C31" s="185">
        <v>122</v>
      </c>
      <c r="D31" s="190" t="str">
        <f>EQ2B</f>
        <v>Saintes</v>
      </c>
      <c r="E31" s="190" t="s">
        <v>10</v>
      </c>
      <c r="F31" s="191"/>
      <c r="G31" s="192">
        <v>3</v>
      </c>
      <c r="H31" s="192">
        <v>1</v>
      </c>
      <c r="I31" s="191"/>
      <c r="J31" s="193" t="s">
        <v>58</v>
      </c>
      <c r="K31" s="194" t="str">
        <f>EQ2F</f>
        <v>HOPE</v>
      </c>
      <c r="L31" s="189"/>
      <c r="M31" s="221"/>
      <c r="N31" s="220"/>
      <c r="O31" s="220"/>
    </row>
    <row r="32" spans="1:15" s="2" customFormat="1" ht="16.5" customHeight="1" thickBot="1" thickTop="1">
      <c r="A32" s="183" t="s">
        <v>7</v>
      </c>
      <c r="B32" s="184">
        <f t="shared" si="0"/>
        <v>0.8590277777777784</v>
      </c>
      <c r="C32" s="195"/>
      <c r="D32" s="196"/>
      <c r="E32" s="196"/>
      <c r="F32" s="197"/>
      <c r="G32" s="198"/>
      <c r="H32" s="198"/>
      <c r="I32" s="197"/>
      <c r="J32" s="196"/>
      <c r="K32" s="196"/>
      <c r="L32" s="197"/>
      <c r="M32" s="225"/>
      <c r="N32" s="225"/>
      <c r="O32" s="225"/>
    </row>
    <row r="33" spans="1:15" ht="9.75" customHeight="1" thickBot="1" thickTop="1">
      <c r="A33" s="199"/>
      <c r="B33" s="200"/>
      <c r="C33" s="199"/>
      <c r="D33" s="199"/>
      <c r="E33" s="199"/>
      <c r="F33" s="199"/>
      <c r="G33" s="201"/>
      <c r="H33" s="201"/>
      <c r="I33" s="199"/>
      <c r="J33" s="199"/>
      <c r="K33" s="199"/>
      <c r="L33" s="199"/>
      <c r="M33" s="226"/>
      <c r="N33" s="227"/>
      <c r="O33" s="227"/>
    </row>
    <row r="34" spans="1:15" s="2" customFormat="1" ht="16.5" customHeight="1" thickBot="1" thickTop="1">
      <c r="A34" s="183" t="s">
        <v>190</v>
      </c>
      <c r="B34" s="184">
        <v>0.3541666666666667</v>
      </c>
      <c r="C34" s="185">
        <v>123</v>
      </c>
      <c r="D34" s="186" t="str">
        <f>EQ1A</f>
        <v>Rennes</v>
      </c>
      <c r="E34" s="186" t="s">
        <v>8</v>
      </c>
      <c r="F34" s="187"/>
      <c r="G34" s="188">
        <v>2</v>
      </c>
      <c r="H34" s="188">
        <v>1</v>
      </c>
      <c r="I34" s="187"/>
      <c r="J34" s="186" t="s">
        <v>22</v>
      </c>
      <c r="K34" s="186" t="str">
        <f>EQ1E</f>
        <v>Pontoise</v>
      </c>
      <c r="L34" s="189"/>
      <c r="M34" s="219"/>
      <c r="N34" s="220"/>
      <c r="O34" s="220"/>
    </row>
    <row r="35" spans="1:15" s="2" customFormat="1" ht="16.5" customHeight="1" thickBot="1" thickTop="1">
      <c r="A35" s="183" t="s">
        <v>190</v>
      </c>
      <c r="B35" s="184">
        <f aca="true" t="shared" si="1" ref="B35:B58">B34+durée1</f>
        <v>0.37430555555555556</v>
      </c>
      <c r="C35" s="185">
        <v>124</v>
      </c>
      <c r="D35" s="186" t="str">
        <f>EQ1B</f>
        <v>Moirans</v>
      </c>
      <c r="E35" s="186" t="s">
        <v>11</v>
      </c>
      <c r="F35" s="187"/>
      <c r="G35" s="188">
        <v>3</v>
      </c>
      <c r="H35" s="188">
        <v>1</v>
      </c>
      <c r="I35" s="187"/>
      <c r="J35" s="186" t="s">
        <v>50</v>
      </c>
      <c r="K35" s="186" t="str">
        <f>EQ1F</f>
        <v>Diderot XII</v>
      </c>
      <c r="L35" s="189"/>
      <c r="M35" s="219"/>
      <c r="N35" s="220"/>
      <c r="O35" s="220"/>
    </row>
    <row r="36" spans="1:15" s="2" customFormat="1" ht="16.5" customHeight="1" thickBot="1" thickTop="1">
      <c r="A36" s="183" t="s">
        <v>190</v>
      </c>
      <c r="B36" s="184">
        <f t="shared" si="1"/>
        <v>0.39444444444444443</v>
      </c>
      <c r="C36" s="185">
        <v>125</v>
      </c>
      <c r="D36" s="186" t="str">
        <f>EQ1G</f>
        <v>Franconville</v>
      </c>
      <c r="E36" s="186" t="s">
        <v>23</v>
      </c>
      <c r="F36" s="187"/>
      <c r="G36" s="188">
        <v>0</v>
      </c>
      <c r="H36" s="188">
        <v>1</v>
      </c>
      <c r="I36" s="187"/>
      <c r="J36" s="186" t="s">
        <v>24</v>
      </c>
      <c r="K36" s="186" t="str">
        <f>EQ1C</f>
        <v>Dinan</v>
      </c>
      <c r="L36" s="189"/>
      <c r="M36" s="219"/>
      <c r="N36" s="220"/>
      <c r="O36" s="220"/>
    </row>
    <row r="37" spans="1:15" s="2" customFormat="1" ht="16.5" customHeight="1" thickBot="1" thickTop="1">
      <c r="A37" s="183" t="s">
        <v>190</v>
      </c>
      <c r="B37" s="184">
        <f t="shared" si="1"/>
        <v>0.4145833333333333</v>
      </c>
      <c r="C37" s="185">
        <v>126</v>
      </c>
      <c r="D37" s="186" t="str">
        <f>EQ1H</f>
        <v>Le Chesnay</v>
      </c>
      <c r="E37" s="186" t="s">
        <v>25</v>
      </c>
      <c r="F37" s="187"/>
      <c r="G37" s="188">
        <v>0</v>
      </c>
      <c r="H37" s="188">
        <v>6</v>
      </c>
      <c r="I37" s="187"/>
      <c r="J37" s="186" t="s">
        <v>26</v>
      </c>
      <c r="K37" s="186" t="str">
        <f>EQ1D</f>
        <v>Fontenay</v>
      </c>
      <c r="L37" s="189"/>
      <c r="M37" s="219"/>
      <c r="N37" s="220"/>
      <c r="O37" s="220"/>
    </row>
    <row r="38" spans="1:15" s="2" customFormat="1" ht="16.5" customHeight="1" thickBot="1" thickTop="1">
      <c r="A38" s="183" t="s">
        <v>190</v>
      </c>
      <c r="B38" s="184">
        <f t="shared" si="1"/>
        <v>0.4347222222222222</v>
      </c>
      <c r="C38" s="185">
        <v>127</v>
      </c>
      <c r="D38" s="190" t="str">
        <f>EQ2F</f>
        <v>HOPE</v>
      </c>
      <c r="E38" s="190" t="s">
        <v>58</v>
      </c>
      <c r="F38" s="191"/>
      <c r="G38" s="192">
        <v>1</v>
      </c>
      <c r="H38" s="192">
        <v>5</v>
      </c>
      <c r="I38" s="191"/>
      <c r="J38" s="193" t="s">
        <v>9</v>
      </c>
      <c r="K38" s="194" t="str">
        <f>EQ2A</f>
        <v>PESSAC</v>
      </c>
      <c r="L38" s="189"/>
      <c r="M38" s="219"/>
      <c r="N38" s="220"/>
      <c r="O38" s="220"/>
    </row>
    <row r="39" spans="1:15" s="2" customFormat="1" ht="16.5" customHeight="1" thickBot="1" thickTop="1">
      <c r="A39" s="183" t="s">
        <v>190</v>
      </c>
      <c r="B39" s="184">
        <f t="shared" si="1"/>
        <v>0.45486111111111105</v>
      </c>
      <c r="C39" s="185">
        <v>128</v>
      </c>
      <c r="D39" s="190" t="str">
        <f>EQ2C</f>
        <v>Clamart</v>
      </c>
      <c r="E39" s="190" t="s">
        <v>17</v>
      </c>
      <c r="F39" s="191"/>
      <c r="G39" s="192">
        <v>4</v>
      </c>
      <c r="H39" s="192">
        <v>1</v>
      </c>
      <c r="I39" s="191"/>
      <c r="J39" s="193" t="s">
        <v>10</v>
      </c>
      <c r="K39" s="194" t="str">
        <f>EQ2B</f>
        <v>Saintes</v>
      </c>
      <c r="L39" s="189"/>
      <c r="M39" s="219"/>
      <c r="N39" s="222"/>
      <c r="O39" s="220"/>
    </row>
    <row r="40" spans="1:15" s="2" customFormat="1" ht="16.5" customHeight="1" thickBot="1" thickTop="1">
      <c r="A40" s="183" t="s">
        <v>190</v>
      </c>
      <c r="B40" s="184">
        <f t="shared" si="1"/>
        <v>0.4749999999999999</v>
      </c>
      <c r="C40" s="185">
        <v>129</v>
      </c>
      <c r="D40" s="186" t="str">
        <f>EQ1F</f>
        <v>Diderot XII</v>
      </c>
      <c r="E40" s="186" t="s">
        <v>50</v>
      </c>
      <c r="F40" s="187"/>
      <c r="G40" s="188">
        <v>1</v>
      </c>
      <c r="H40" s="188">
        <v>8</v>
      </c>
      <c r="I40" s="187"/>
      <c r="J40" s="186" t="s">
        <v>8</v>
      </c>
      <c r="K40" s="186" t="str">
        <f>EQ1A</f>
        <v>Rennes</v>
      </c>
      <c r="L40" s="189"/>
      <c r="M40" s="219"/>
      <c r="N40" s="222"/>
      <c r="O40" s="220"/>
    </row>
    <row r="41" spans="1:15" s="2" customFormat="1" ht="16.5" customHeight="1" thickBot="1" thickTop="1">
      <c r="A41" s="183" t="s">
        <v>190</v>
      </c>
      <c r="B41" s="184">
        <f t="shared" si="1"/>
        <v>0.4951388888888888</v>
      </c>
      <c r="C41" s="185">
        <v>130</v>
      </c>
      <c r="D41" s="186" t="str">
        <f>EQ1C</f>
        <v>Dinan</v>
      </c>
      <c r="E41" s="186" t="s">
        <v>24</v>
      </c>
      <c r="F41" s="187"/>
      <c r="G41" s="188">
        <v>2</v>
      </c>
      <c r="H41" s="188">
        <v>1</v>
      </c>
      <c r="I41" s="187"/>
      <c r="J41" s="186" t="s">
        <v>11</v>
      </c>
      <c r="K41" s="186" t="str">
        <f>EQ1B</f>
        <v>Moirans</v>
      </c>
      <c r="L41" s="189"/>
      <c r="M41" s="223"/>
      <c r="N41" s="222"/>
      <c r="O41" s="220"/>
    </row>
    <row r="42" spans="1:15" s="2" customFormat="1" ht="16.5" customHeight="1" thickBot="1" thickTop="1">
      <c r="A42" s="183" t="s">
        <v>190</v>
      </c>
      <c r="B42" s="184">
        <f t="shared" si="1"/>
        <v>0.5152777777777777</v>
      </c>
      <c r="C42" s="185">
        <v>131</v>
      </c>
      <c r="D42" s="186" t="str">
        <f>EQ1D</f>
        <v>Fontenay</v>
      </c>
      <c r="E42" s="186" t="s">
        <v>26</v>
      </c>
      <c r="F42" s="187"/>
      <c r="G42" s="188">
        <v>3</v>
      </c>
      <c r="H42" s="188">
        <v>0</v>
      </c>
      <c r="I42" s="187"/>
      <c r="J42" s="186" t="s">
        <v>23</v>
      </c>
      <c r="K42" s="186" t="str">
        <f>EQ1G</f>
        <v>Franconville</v>
      </c>
      <c r="L42" s="189"/>
      <c r="M42" s="223"/>
      <c r="N42" s="222"/>
      <c r="O42" s="220"/>
    </row>
    <row r="43" spans="1:15" s="2" customFormat="1" ht="16.5" customHeight="1" thickBot="1" thickTop="1">
      <c r="A43" s="183" t="s">
        <v>190</v>
      </c>
      <c r="B43" s="184">
        <f t="shared" si="1"/>
        <v>0.5354166666666667</v>
      </c>
      <c r="C43" s="185">
        <v>132</v>
      </c>
      <c r="D43" s="186" t="str">
        <f>EQ1H</f>
        <v>Le Chesnay</v>
      </c>
      <c r="E43" s="186" t="s">
        <v>25</v>
      </c>
      <c r="F43" s="187"/>
      <c r="G43" s="188">
        <v>0</v>
      </c>
      <c r="H43" s="188">
        <v>5</v>
      </c>
      <c r="I43" s="187"/>
      <c r="J43" s="186" t="s">
        <v>22</v>
      </c>
      <c r="K43" s="186" t="str">
        <f>EQ1E</f>
        <v>Pontoise</v>
      </c>
      <c r="L43" s="189"/>
      <c r="M43" s="219"/>
      <c r="N43" s="222"/>
      <c r="O43" s="220"/>
    </row>
    <row r="44" spans="1:15" s="2" customFormat="1" ht="16.5" customHeight="1" thickBot="1" thickTop="1">
      <c r="A44" s="183" t="s">
        <v>190</v>
      </c>
      <c r="B44" s="184">
        <f t="shared" si="1"/>
        <v>0.5555555555555556</v>
      </c>
      <c r="C44" s="185">
        <v>133</v>
      </c>
      <c r="D44" s="190" t="str">
        <f>EQ2C</f>
        <v>Clamart</v>
      </c>
      <c r="E44" s="190" t="s">
        <v>17</v>
      </c>
      <c r="F44" s="191"/>
      <c r="G44" s="192">
        <v>5</v>
      </c>
      <c r="H44" s="192">
        <v>0</v>
      </c>
      <c r="I44" s="191"/>
      <c r="J44" s="193" t="s">
        <v>58</v>
      </c>
      <c r="K44" s="190" t="str">
        <f>EQ2F</f>
        <v>HOPE</v>
      </c>
      <c r="L44" s="189"/>
      <c r="M44" s="219"/>
      <c r="N44" s="220"/>
      <c r="O44" s="222"/>
    </row>
    <row r="45" spans="1:15" s="2" customFormat="1" ht="16.5" thickBot="1" thickTop="1">
      <c r="A45" s="183" t="s">
        <v>190</v>
      </c>
      <c r="B45" s="184">
        <f t="shared" si="1"/>
        <v>0.5756944444444445</v>
      </c>
      <c r="C45" s="185"/>
      <c r="D45" s="259" t="s">
        <v>16</v>
      </c>
      <c r="E45" s="260"/>
      <c r="F45" s="260"/>
      <c r="G45" s="260"/>
      <c r="H45" s="260"/>
      <c r="I45" s="260"/>
      <c r="J45" s="260"/>
      <c r="K45" s="261"/>
      <c r="L45" s="189"/>
      <c r="M45" s="219" t="s">
        <v>305</v>
      </c>
      <c r="N45" s="220" t="s">
        <v>305</v>
      </c>
      <c r="O45" s="220" t="s">
        <v>305</v>
      </c>
    </row>
    <row r="46" spans="1:15" s="2" customFormat="1" ht="16.5" customHeight="1" thickBot="1" thickTop="1">
      <c r="A46" s="183" t="s">
        <v>190</v>
      </c>
      <c r="B46" s="184">
        <f t="shared" si="1"/>
        <v>0.5958333333333334</v>
      </c>
      <c r="C46" s="185">
        <v>134</v>
      </c>
      <c r="D46" s="190" t="str">
        <f>EQ2G</f>
        <v>Clermont Ferrand</v>
      </c>
      <c r="E46" s="190" t="s">
        <v>21</v>
      </c>
      <c r="F46" s="191"/>
      <c r="G46" s="192">
        <v>1</v>
      </c>
      <c r="H46" s="192">
        <v>6</v>
      </c>
      <c r="I46" s="191"/>
      <c r="J46" s="193" t="s">
        <v>9</v>
      </c>
      <c r="K46" s="194" t="str">
        <f>EQ2A</f>
        <v>PESSAC</v>
      </c>
      <c r="L46" s="189"/>
      <c r="M46" s="219"/>
      <c r="N46" s="220"/>
      <c r="O46" s="220"/>
    </row>
    <row r="47" spans="1:15" s="2" customFormat="1" ht="16.5" customHeight="1" thickBot="1" thickTop="1">
      <c r="A47" s="183" t="s">
        <v>190</v>
      </c>
      <c r="B47" s="184">
        <f t="shared" si="1"/>
        <v>0.6159722222222224</v>
      </c>
      <c r="C47" s="185">
        <v>135</v>
      </c>
      <c r="D47" s="186" t="str">
        <f>EQ1C</f>
        <v>Dinan</v>
      </c>
      <c r="E47" s="186" t="s">
        <v>24</v>
      </c>
      <c r="F47" s="187"/>
      <c r="G47" s="188">
        <v>6</v>
      </c>
      <c r="H47" s="188">
        <v>1</v>
      </c>
      <c r="I47" s="187"/>
      <c r="J47" s="186" t="s">
        <v>50</v>
      </c>
      <c r="K47" s="186" t="str">
        <f>EQ1F</f>
        <v>Diderot XII</v>
      </c>
      <c r="L47" s="189"/>
      <c r="M47" s="219"/>
      <c r="N47" s="220"/>
      <c r="O47" s="220"/>
    </row>
    <row r="48" spans="1:15" s="2" customFormat="1" ht="16.5" customHeight="1" thickBot="1" thickTop="1">
      <c r="A48" s="183" t="s">
        <v>190</v>
      </c>
      <c r="B48" s="184">
        <f t="shared" si="1"/>
        <v>0.6361111111111113</v>
      </c>
      <c r="C48" s="185">
        <v>136</v>
      </c>
      <c r="D48" s="186" t="str">
        <f>EQ1G</f>
        <v>Franconville</v>
      </c>
      <c r="E48" s="186" t="s">
        <v>23</v>
      </c>
      <c r="F48" s="187"/>
      <c r="G48" s="188">
        <v>1</v>
      </c>
      <c r="H48" s="188">
        <v>2</v>
      </c>
      <c r="I48" s="187"/>
      <c r="J48" s="186" t="s">
        <v>8</v>
      </c>
      <c r="K48" s="186" t="str">
        <f>EQ1A</f>
        <v>Rennes</v>
      </c>
      <c r="L48" s="189"/>
      <c r="M48" s="219"/>
      <c r="N48" s="220"/>
      <c r="O48" s="220"/>
    </row>
    <row r="49" spans="1:15" s="2" customFormat="1" ht="16.5" customHeight="1" thickBot="1" thickTop="1">
      <c r="A49" s="183" t="s">
        <v>190</v>
      </c>
      <c r="B49" s="184">
        <f t="shared" si="1"/>
        <v>0.6562500000000002</v>
      </c>
      <c r="C49" s="185">
        <v>137</v>
      </c>
      <c r="D49" s="186" t="str">
        <f>EQ1B</f>
        <v>Moirans</v>
      </c>
      <c r="E49" s="186" t="s">
        <v>11</v>
      </c>
      <c r="F49" s="187"/>
      <c r="G49" s="188">
        <v>3</v>
      </c>
      <c r="H49" s="188">
        <v>2</v>
      </c>
      <c r="I49" s="187"/>
      <c r="J49" s="186" t="s">
        <v>25</v>
      </c>
      <c r="K49" s="186" t="str">
        <f>EQ1H</f>
        <v>Le Chesnay</v>
      </c>
      <c r="L49" s="189"/>
      <c r="M49" s="219"/>
      <c r="N49" s="220"/>
      <c r="O49" s="220"/>
    </row>
    <row r="50" spans="1:15" s="2" customFormat="1" ht="16.5" customHeight="1" thickBot="1" thickTop="1">
      <c r="A50" s="183" t="s">
        <v>190</v>
      </c>
      <c r="B50" s="184">
        <f t="shared" si="1"/>
        <v>0.6763888888888892</v>
      </c>
      <c r="C50" s="185">
        <v>138</v>
      </c>
      <c r="D50" s="186" t="str">
        <f>EQ1E</f>
        <v>Pontoise</v>
      </c>
      <c r="E50" s="186" t="s">
        <v>22</v>
      </c>
      <c r="F50" s="187"/>
      <c r="G50" s="188">
        <v>1</v>
      </c>
      <c r="H50" s="188">
        <v>3</v>
      </c>
      <c r="I50" s="187"/>
      <c r="J50" s="186" t="s">
        <v>26</v>
      </c>
      <c r="K50" s="186" t="str">
        <f>EQ1D</f>
        <v>Fontenay</v>
      </c>
      <c r="L50" s="189"/>
      <c r="M50" s="219"/>
      <c r="N50" s="220"/>
      <c r="O50" s="220"/>
    </row>
    <row r="51" spans="1:15" s="2" customFormat="1" ht="16.5" customHeight="1" thickBot="1" thickTop="1">
      <c r="A51" s="183" t="s">
        <v>190</v>
      </c>
      <c r="B51" s="184">
        <f t="shared" si="1"/>
        <v>0.6965277777777781</v>
      </c>
      <c r="C51" s="185">
        <v>139</v>
      </c>
      <c r="D51" s="190" t="str">
        <f>EQ2A</f>
        <v>PESSAC</v>
      </c>
      <c r="E51" s="190" t="s">
        <v>9</v>
      </c>
      <c r="F51" s="191"/>
      <c r="G51" s="192">
        <v>7</v>
      </c>
      <c r="H51" s="192">
        <v>0</v>
      </c>
      <c r="I51" s="191"/>
      <c r="J51" s="193" t="s">
        <v>20</v>
      </c>
      <c r="K51" s="194" t="str">
        <f>EQ2H</f>
        <v>Morlaix</v>
      </c>
      <c r="L51" s="189"/>
      <c r="M51" s="219"/>
      <c r="N51" s="220"/>
      <c r="O51" s="220"/>
    </row>
    <row r="52" spans="1:15" s="2" customFormat="1" ht="16.5" customHeight="1" thickBot="1" thickTop="1">
      <c r="A52" s="183" t="s">
        <v>190</v>
      </c>
      <c r="B52" s="184">
        <f t="shared" si="1"/>
        <v>0.716666666666667</v>
      </c>
      <c r="C52" s="185">
        <v>140</v>
      </c>
      <c r="D52" s="190" t="str">
        <f>EQ2G</f>
        <v>Clermont Ferrand</v>
      </c>
      <c r="E52" s="190" t="s">
        <v>21</v>
      </c>
      <c r="F52" s="191"/>
      <c r="G52" s="192">
        <v>1</v>
      </c>
      <c r="H52" s="192">
        <v>6</v>
      </c>
      <c r="I52" s="191"/>
      <c r="J52" s="193" t="s">
        <v>10</v>
      </c>
      <c r="K52" s="194" t="str">
        <f>EQ2B</f>
        <v>Saintes</v>
      </c>
      <c r="L52" s="189"/>
      <c r="M52" s="219"/>
      <c r="N52" s="220"/>
      <c r="O52" s="220"/>
    </row>
    <row r="53" spans="1:15" s="2" customFormat="1" ht="16.5" customHeight="1" thickBot="1" thickTop="1">
      <c r="A53" s="183" t="s">
        <v>190</v>
      </c>
      <c r="B53" s="184">
        <f t="shared" si="1"/>
        <v>0.7368055555555559</v>
      </c>
      <c r="C53" s="185">
        <v>141</v>
      </c>
      <c r="D53" s="186" t="str">
        <f>EQ1A</f>
        <v>Rennes</v>
      </c>
      <c r="E53" s="186" t="s">
        <v>8</v>
      </c>
      <c r="F53" s="187"/>
      <c r="G53" s="188">
        <v>4</v>
      </c>
      <c r="H53" s="188">
        <v>2</v>
      </c>
      <c r="I53" s="187"/>
      <c r="J53" s="186" t="s">
        <v>25</v>
      </c>
      <c r="K53" s="186" t="str">
        <f>EQ1H</f>
        <v>Le Chesnay</v>
      </c>
      <c r="L53" s="189"/>
      <c r="M53" s="219"/>
      <c r="N53" s="220"/>
      <c r="O53" s="220"/>
    </row>
    <row r="54" spans="1:15" s="2" customFormat="1" ht="16.5" customHeight="1" thickBot="1" thickTop="1">
      <c r="A54" s="183" t="s">
        <v>190</v>
      </c>
      <c r="B54" s="184">
        <f t="shared" si="1"/>
        <v>0.7569444444444449</v>
      </c>
      <c r="C54" s="185">
        <v>142</v>
      </c>
      <c r="D54" s="186" t="str">
        <f>EQ1G</f>
        <v>Franconville</v>
      </c>
      <c r="E54" s="186" t="s">
        <v>23</v>
      </c>
      <c r="F54" s="187"/>
      <c r="G54" s="188">
        <v>0</v>
      </c>
      <c r="H54" s="188">
        <v>4</v>
      </c>
      <c r="I54" s="187"/>
      <c r="J54" s="186" t="s">
        <v>11</v>
      </c>
      <c r="K54" s="186" t="str">
        <f>EQ1B</f>
        <v>Moirans</v>
      </c>
      <c r="L54" s="189"/>
      <c r="M54" s="219"/>
      <c r="N54" s="220"/>
      <c r="O54" s="220"/>
    </row>
    <row r="55" spans="1:15" s="2" customFormat="1" ht="16.5" customHeight="1" thickBot="1" thickTop="1">
      <c r="A55" s="183" t="s">
        <v>190</v>
      </c>
      <c r="B55" s="184">
        <f t="shared" si="1"/>
        <v>0.7770833333333338</v>
      </c>
      <c r="C55" s="185">
        <v>143</v>
      </c>
      <c r="D55" s="186" t="str">
        <f>EQ1D</f>
        <v>Fontenay</v>
      </c>
      <c r="E55" s="186" t="s">
        <v>26</v>
      </c>
      <c r="F55" s="187"/>
      <c r="G55" s="188">
        <v>4</v>
      </c>
      <c r="H55" s="188">
        <v>0</v>
      </c>
      <c r="I55" s="187"/>
      <c r="J55" s="186" t="s">
        <v>50</v>
      </c>
      <c r="K55" s="186" t="str">
        <f>EQ1F</f>
        <v>Diderot XII</v>
      </c>
      <c r="L55" s="189"/>
      <c r="M55" s="219"/>
      <c r="N55" s="220"/>
      <c r="O55" s="220"/>
    </row>
    <row r="56" spans="1:15" s="2" customFormat="1" ht="16.5" customHeight="1" thickBot="1" thickTop="1">
      <c r="A56" s="183" t="s">
        <v>190</v>
      </c>
      <c r="B56" s="184">
        <f t="shared" si="1"/>
        <v>0.7972222222222227</v>
      </c>
      <c r="C56" s="185">
        <v>144</v>
      </c>
      <c r="D56" s="186" t="str">
        <f>EQ1C</f>
        <v>Dinan</v>
      </c>
      <c r="E56" s="186" t="s">
        <v>24</v>
      </c>
      <c r="F56" s="187"/>
      <c r="G56" s="188">
        <v>4</v>
      </c>
      <c r="H56" s="188">
        <v>0</v>
      </c>
      <c r="I56" s="187"/>
      <c r="J56" s="186" t="s">
        <v>22</v>
      </c>
      <c r="K56" s="186" t="str">
        <f>EQ1E</f>
        <v>Pontoise</v>
      </c>
      <c r="L56" s="189"/>
      <c r="M56" s="219"/>
      <c r="N56" s="220"/>
      <c r="O56" s="220"/>
    </row>
    <row r="57" spans="1:15" s="2" customFormat="1" ht="16.5" customHeight="1" thickBot="1" thickTop="1">
      <c r="A57" s="183" t="s">
        <v>190</v>
      </c>
      <c r="B57" s="184">
        <f t="shared" si="1"/>
        <v>0.8173611111111116</v>
      </c>
      <c r="C57" s="185">
        <v>145</v>
      </c>
      <c r="D57" s="192" t="str">
        <f>IF('Groupe A'!C29="","",'Groupe A'!C29)</f>
        <v>Diderot XII</v>
      </c>
      <c r="E57" s="202" t="s">
        <v>236</v>
      </c>
      <c r="F57" s="191"/>
      <c r="G57" s="192">
        <v>3</v>
      </c>
      <c r="H57" s="192">
        <v>2</v>
      </c>
      <c r="I57" s="191"/>
      <c r="J57" s="203" t="s">
        <v>237</v>
      </c>
      <c r="K57" s="204" t="str">
        <f>IF('Groupe A'!C30="","",'Groupe A'!C30)</f>
        <v>Clamart</v>
      </c>
      <c r="L57" s="189"/>
      <c r="M57" s="219"/>
      <c r="N57" s="220"/>
      <c r="O57" s="220"/>
    </row>
    <row r="58" spans="1:15" s="2" customFormat="1" ht="16.5" customHeight="1" thickBot="1" thickTop="1">
      <c r="A58" s="183" t="s">
        <v>190</v>
      </c>
      <c r="B58" s="184">
        <f t="shared" si="1"/>
        <v>0.8375000000000006</v>
      </c>
      <c r="C58" s="195"/>
      <c r="D58" s="198"/>
      <c r="E58" s="196"/>
      <c r="F58" s="197"/>
      <c r="G58" s="198"/>
      <c r="H58" s="198"/>
      <c r="I58" s="197"/>
      <c r="J58" s="196"/>
      <c r="K58" s="198"/>
      <c r="L58" s="197"/>
      <c r="M58" s="225"/>
      <c r="N58" s="225"/>
      <c r="O58" s="225"/>
    </row>
    <row r="59" spans="1:15" ht="9.75" customHeight="1" thickBot="1" thickTop="1">
      <c r="A59" s="199"/>
      <c r="B59" s="200"/>
      <c r="C59" s="199"/>
      <c r="D59" s="205"/>
      <c r="E59" s="199"/>
      <c r="F59" s="199"/>
      <c r="G59" s="201"/>
      <c r="H59" s="201"/>
      <c r="I59" s="199"/>
      <c r="J59" s="199"/>
      <c r="K59" s="205"/>
      <c r="L59" s="199"/>
      <c r="M59" s="226"/>
      <c r="N59" s="227"/>
      <c r="O59" s="227"/>
    </row>
    <row r="60" spans="1:15" ht="16.5" customHeight="1" thickBot="1" thickTop="1">
      <c r="A60" s="183" t="s">
        <v>333</v>
      </c>
      <c r="B60" s="184">
        <v>0.3541666666666667</v>
      </c>
      <c r="C60" s="185">
        <v>146</v>
      </c>
      <c r="D60" s="188" t="str">
        <f>IF('Groupe A'!C34="","",'Groupe A'!C34)</f>
        <v>Dinan</v>
      </c>
      <c r="E60" s="186" t="s">
        <v>194</v>
      </c>
      <c r="F60" s="187"/>
      <c r="G60" s="188">
        <v>3</v>
      </c>
      <c r="H60" s="188">
        <v>1</v>
      </c>
      <c r="I60" s="187"/>
      <c r="J60" s="186" t="s">
        <v>200</v>
      </c>
      <c r="K60" s="188" t="str">
        <f>IF('Groupe A'!C35="","",'Groupe A'!C35)</f>
        <v>PESSAC</v>
      </c>
      <c r="L60" s="189"/>
      <c r="M60" s="219"/>
      <c r="N60" s="220"/>
      <c r="O60" s="220"/>
    </row>
    <row r="61" spans="1:15" ht="16.5" customHeight="1" thickBot="1" thickTop="1">
      <c r="A61" s="183" t="s">
        <v>333</v>
      </c>
      <c r="B61" s="184">
        <f aca="true" t="shared" si="2" ref="B61:B77">B60+durée1</f>
        <v>0.37430555555555556</v>
      </c>
      <c r="C61" s="185">
        <v>147</v>
      </c>
      <c r="D61" s="188" t="str">
        <f>IF('Groupe A'!H34="","",'Groupe A'!H34)</f>
        <v>Moirans</v>
      </c>
      <c r="E61" s="186" t="s">
        <v>196</v>
      </c>
      <c r="F61" s="187"/>
      <c r="G61" s="188">
        <v>2</v>
      </c>
      <c r="H61" s="188">
        <v>3</v>
      </c>
      <c r="I61" s="187"/>
      <c r="J61" s="186" t="s">
        <v>197</v>
      </c>
      <c r="K61" s="188" t="str">
        <f>IF('Groupe A'!H35="","",'Groupe A'!H35)</f>
        <v>Pontoise</v>
      </c>
      <c r="L61" s="189"/>
      <c r="M61" s="219"/>
      <c r="N61" s="220"/>
      <c r="O61" s="220"/>
    </row>
    <row r="62" spans="1:15" ht="16.5" customHeight="1" thickBot="1" thickTop="1">
      <c r="A62" s="183" t="s">
        <v>333</v>
      </c>
      <c r="B62" s="184">
        <f t="shared" si="2"/>
        <v>0.39444444444444443</v>
      </c>
      <c r="C62" s="185">
        <v>148</v>
      </c>
      <c r="D62" s="188" t="str">
        <f>IF('Groupe A'!P34="","",'Groupe A'!P34)</f>
        <v>Fontenay</v>
      </c>
      <c r="E62" s="186" t="s">
        <v>195</v>
      </c>
      <c r="F62" s="187"/>
      <c r="G62" s="188">
        <v>4</v>
      </c>
      <c r="H62" s="188">
        <v>0</v>
      </c>
      <c r="I62" s="187"/>
      <c r="J62" s="186" t="s">
        <v>198</v>
      </c>
      <c r="K62" s="188" t="str">
        <f>IF('Groupe A'!P35="","",'Groupe A'!P35)</f>
        <v>Franconville</v>
      </c>
      <c r="L62" s="189"/>
      <c r="M62" s="219"/>
      <c r="N62" s="220"/>
      <c r="O62" s="220"/>
    </row>
    <row r="63" spans="1:15" ht="16.5" customHeight="1" thickBot="1" thickTop="1">
      <c r="A63" s="183" t="s">
        <v>333</v>
      </c>
      <c r="B63" s="184">
        <f t="shared" si="2"/>
        <v>0.4145833333333333</v>
      </c>
      <c r="C63" s="185">
        <v>149</v>
      </c>
      <c r="D63" s="188" t="str">
        <f>IF('Groupe A'!Y34="","",'Groupe A'!Y34)</f>
        <v>Rennes</v>
      </c>
      <c r="E63" s="186" t="s">
        <v>209</v>
      </c>
      <c r="F63" s="187"/>
      <c r="G63" s="188">
        <v>4</v>
      </c>
      <c r="H63" s="188">
        <v>2</v>
      </c>
      <c r="I63" s="187"/>
      <c r="J63" s="186" t="s">
        <v>199</v>
      </c>
      <c r="K63" s="188" t="str">
        <f>IF('Groupe A'!Y35="","",'Groupe A'!Y35)</f>
        <v>Diderot XII</v>
      </c>
      <c r="L63" s="189"/>
      <c r="M63" s="219"/>
      <c r="N63" s="220"/>
      <c r="O63" s="220"/>
    </row>
    <row r="64" spans="1:15" ht="16.5" customHeight="1" thickBot="1" thickTop="1">
      <c r="A64" s="183" t="s">
        <v>333</v>
      </c>
      <c r="B64" s="184">
        <f t="shared" si="2"/>
        <v>0.4347222222222222</v>
      </c>
      <c r="C64" s="185">
        <v>150</v>
      </c>
      <c r="D64" s="188" t="str">
        <f>'Groupe A'!C38</f>
        <v>PESSAC</v>
      </c>
      <c r="E64" s="186" t="s">
        <v>210</v>
      </c>
      <c r="F64" s="187"/>
      <c r="G64" s="188">
        <v>2</v>
      </c>
      <c r="H64" s="188">
        <v>3</v>
      </c>
      <c r="I64" s="187"/>
      <c r="J64" s="186" t="s">
        <v>211</v>
      </c>
      <c r="K64" s="188" t="str">
        <f>'Groupe A'!C39</f>
        <v>Moirans</v>
      </c>
      <c r="L64" s="189"/>
      <c r="M64" s="219"/>
      <c r="N64" s="220"/>
      <c r="O64" s="220"/>
    </row>
    <row r="65" spans="1:15" ht="16.5" customHeight="1" thickBot="1" thickTop="1">
      <c r="A65" s="183" t="s">
        <v>333</v>
      </c>
      <c r="B65" s="184">
        <f t="shared" si="2"/>
        <v>0.45486111111111105</v>
      </c>
      <c r="C65" s="185">
        <v>151</v>
      </c>
      <c r="D65" s="188" t="str">
        <f>'Groupe A'!H38</f>
        <v>Franconville</v>
      </c>
      <c r="E65" s="186" t="s">
        <v>212</v>
      </c>
      <c r="F65" s="187"/>
      <c r="G65" s="188">
        <v>3</v>
      </c>
      <c r="H65" s="188">
        <v>0</v>
      </c>
      <c r="I65" s="187"/>
      <c r="J65" s="186" t="s">
        <v>217</v>
      </c>
      <c r="K65" s="188" t="str">
        <f>'Groupe A'!H39</f>
        <v>Diderot XII</v>
      </c>
      <c r="L65" s="189"/>
      <c r="M65" s="223"/>
      <c r="N65" s="222"/>
      <c r="O65" s="222"/>
    </row>
    <row r="66" spans="1:15" ht="16.5" customHeight="1" thickBot="1" thickTop="1">
      <c r="A66" s="183" t="s">
        <v>333</v>
      </c>
      <c r="B66" s="184">
        <f t="shared" si="2"/>
        <v>0.4749999999999999</v>
      </c>
      <c r="C66" s="185">
        <v>152</v>
      </c>
      <c r="D66" s="188" t="str">
        <f>'Groupe A'!P38</f>
        <v>Dinan</v>
      </c>
      <c r="E66" s="186" t="s">
        <v>213</v>
      </c>
      <c r="F66" s="187"/>
      <c r="G66" s="188">
        <v>3</v>
      </c>
      <c r="H66" s="188">
        <v>1</v>
      </c>
      <c r="I66" s="187"/>
      <c r="J66" s="186" t="s">
        <v>216</v>
      </c>
      <c r="K66" s="188" t="str">
        <f>'Groupe A'!P39</f>
        <v>Pontoise</v>
      </c>
      <c r="L66" s="189"/>
      <c r="M66" s="223"/>
      <c r="N66" s="222"/>
      <c r="O66" s="222"/>
    </row>
    <row r="67" spans="1:15" ht="16.5" customHeight="1" thickBot="1" thickTop="1">
      <c r="A67" s="183" t="s">
        <v>333</v>
      </c>
      <c r="B67" s="184">
        <f t="shared" si="2"/>
        <v>0.4951388888888888</v>
      </c>
      <c r="C67" s="185">
        <v>153</v>
      </c>
      <c r="D67" s="188" t="str">
        <f>'Groupe A'!Y38</f>
        <v>Fontenay</v>
      </c>
      <c r="E67" s="186" t="s">
        <v>214</v>
      </c>
      <c r="F67" s="187"/>
      <c r="G67" s="188">
        <v>1</v>
      </c>
      <c r="H67" s="188">
        <v>2</v>
      </c>
      <c r="I67" s="187"/>
      <c r="J67" s="186" t="s">
        <v>215</v>
      </c>
      <c r="K67" s="188" t="str">
        <f>'Groupe A'!Y39</f>
        <v>Rennes</v>
      </c>
      <c r="L67" s="189"/>
      <c r="M67" s="219"/>
      <c r="N67" s="220"/>
      <c r="O67" s="220"/>
    </row>
    <row r="68" spans="1:15" ht="16.5" customHeight="1" thickBot="1" thickTop="1">
      <c r="A68" s="183" t="s">
        <v>333</v>
      </c>
      <c r="B68" s="184">
        <f t="shared" si="2"/>
        <v>0.5152777777777777</v>
      </c>
      <c r="C68" s="185"/>
      <c r="D68" s="254" t="s">
        <v>16</v>
      </c>
      <c r="E68" s="255"/>
      <c r="F68" s="255"/>
      <c r="G68" s="255"/>
      <c r="H68" s="255"/>
      <c r="I68" s="255"/>
      <c r="J68" s="255"/>
      <c r="K68" s="256"/>
      <c r="L68" s="189"/>
      <c r="M68" s="219" t="s">
        <v>305</v>
      </c>
      <c r="N68" s="220" t="s">
        <v>305</v>
      </c>
      <c r="O68" s="220" t="s">
        <v>305</v>
      </c>
    </row>
    <row r="69" spans="1:15" ht="16.5" customHeight="1" thickBot="1" thickTop="1">
      <c r="A69" s="183" t="s">
        <v>333</v>
      </c>
      <c r="B69" s="184">
        <f t="shared" si="2"/>
        <v>0.5354166666666667</v>
      </c>
      <c r="C69" s="185">
        <v>154</v>
      </c>
      <c r="D69" s="192" t="str">
        <f>'Groupe B'!C33</f>
        <v>Le Puy en Velay</v>
      </c>
      <c r="E69" s="190" t="s">
        <v>238</v>
      </c>
      <c r="F69" s="191"/>
      <c r="G69" s="192">
        <v>4</v>
      </c>
      <c r="H69" s="192">
        <v>3</v>
      </c>
      <c r="I69" s="191"/>
      <c r="J69" s="193" t="s">
        <v>239</v>
      </c>
      <c r="K69" s="204" t="str">
        <f>'Groupe B'!C32</f>
        <v>Clermont Ferrand</v>
      </c>
      <c r="L69" s="189"/>
      <c r="M69" s="223"/>
      <c r="N69" s="222"/>
      <c r="O69" s="222"/>
    </row>
    <row r="70" spans="1:15" ht="16.5" customHeight="1" thickBot="1" thickTop="1">
      <c r="A70" s="183" t="s">
        <v>333</v>
      </c>
      <c r="B70" s="184">
        <f t="shared" si="2"/>
        <v>0.5555555555555556</v>
      </c>
      <c r="C70" s="185">
        <v>155</v>
      </c>
      <c r="D70" s="188" t="str">
        <f>'Groupe A'!C42</f>
        <v>PESSAC</v>
      </c>
      <c r="E70" s="186" t="s">
        <v>246</v>
      </c>
      <c r="F70" s="187"/>
      <c r="G70" s="188">
        <v>1</v>
      </c>
      <c r="H70" s="188">
        <v>0</v>
      </c>
      <c r="I70" s="187"/>
      <c r="J70" s="186" t="s">
        <v>247</v>
      </c>
      <c r="K70" s="188" t="str">
        <f>'Groupe A'!C43</f>
        <v>Diderot XII</v>
      </c>
      <c r="L70" s="189"/>
      <c r="M70" s="219"/>
      <c r="N70" s="220"/>
      <c r="O70" s="220"/>
    </row>
    <row r="71" spans="1:15" ht="16.5" customHeight="1" thickBot="1" thickTop="1">
      <c r="A71" s="183" t="s">
        <v>333</v>
      </c>
      <c r="B71" s="184">
        <f t="shared" si="2"/>
        <v>0.5756944444444445</v>
      </c>
      <c r="C71" s="185">
        <v>156</v>
      </c>
      <c r="D71" s="192" t="str">
        <f>'Groupe B'!P33</f>
        <v>Nantes</v>
      </c>
      <c r="E71" s="190" t="s">
        <v>244</v>
      </c>
      <c r="F71" s="191"/>
      <c r="G71" s="192">
        <v>1</v>
      </c>
      <c r="H71" s="192">
        <v>2</v>
      </c>
      <c r="I71" s="191"/>
      <c r="J71" s="193" t="s">
        <v>240</v>
      </c>
      <c r="K71" s="204" t="str">
        <f>'Groupe B'!P32</f>
        <v>Le Chesnay</v>
      </c>
      <c r="L71" s="189"/>
      <c r="M71" s="219"/>
      <c r="N71" s="220"/>
      <c r="O71" s="220"/>
    </row>
    <row r="72" spans="1:15" ht="16.5" customHeight="1" thickBot="1" thickTop="1">
      <c r="A72" s="183" t="s">
        <v>333</v>
      </c>
      <c r="B72" s="184">
        <f t="shared" si="2"/>
        <v>0.5958333333333334</v>
      </c>
      <c r="C72" s="185">
        <v>157</v>
      </c>
      <c r="D72" s="188" t="str">
        <f>'Groupe A'!H42</f>
        <v>Moirans</v>
      </c>
      <c r="E72" s="186" t="s">
        <v>248</v>
      </c>
      <c r="F72" s="187"/>
      <c r="G72" s="188">
        <v>2</v>
      </c>
      <c r="H72" s="188">
        <v>0</v>
      </c>
      <c r="I72" s="187"/>
      <c r="J72" s="186" t="s">
        <v>249</v>
      </c>
      <c r="K72" s="188" t="str">
        <f>'Groupe A'!H43</f>
        <v>Franconville</v>
      </c>
      <c r="L72" s="189"/>
      <c r="M72" s="219"/>
      <c r="N72" s="220"/>
      <c r="O72" s="220"/>
    </row>
    <row r="73" spans="1:15" ht="16.5" customHeight="1" thickBot="1" thickTop="1">
      <c r="A73" s="183" t="s">
        <v>333</v>
      </c>
      <c r="B73" s="184">
        <f t="shared" si="2"/>
        <v>0.6159722222222224</v>
      </c>
      <c r="C73" s="185">
        <v>158</v>
      </c>
      <c r="D73" s="192" t="str">
        <f>'Groupe B'!P36</f>
        <v>Nantes</v>
      </c>
      <c r="E73" s="190" t="s">
        <v>245</v>
      </c>
      <c r="F73" s="191"/>
      <c r="G73" s="192">
        <v>4</v>
      </c>
      <c r="H73" s="192">
        <v>3</v>
      </c>
      <c r="I73" s="191"/>
      <c r="J73" s="193" t="s">
        <v>241</v>
      </c>
      <c r="K73" s="204" t="str">
        <f>'Groupe B'!P37</f>
        <v>Saintes</v>
      </c>
      <c r="L73" s="189"/>
      <c r="M73" s="219"/>
      <c r="N73" s="220"/>
      <c r="O73" s="220"/>
    </row>
    <row r="74" spans="1:15" ht="16.5" customHeight="1" thickBot="1" thickTop="1">
      <c r="A74" s="183" t="s">
        <v>333</v>
      </c>
      <c r="B74" s="184">
        <f t="shared" si="2"/>
        <v>0.6361111111111113</v>
      </c>
      <c r="C74" s="185">
        <v>159</v>
      </c>
      <c r="D74" s="192" t="str">
        <f>'Groupe B'!H36</f>
        <v>Le Puy en Velay</v>
      </c>
      <c r="E74" s="190" t="s">
        <v>232</v>
      </c>
      <c r="F74" s="191"/>
      <c r="G74" s="192">
        <v>3</v>
      </c>
      <c r="H74" s="192">
        <v>1</v>
      </c>
      <c r="I74" s="191"/>
      <c r="J74" s="193" t="s">
        <v>231</v>
      </c>
      <c r="K74" s="204" t="str">
        <f>'Groupe B'!H37</f>
        <v>HOPE</v>
      </c>
      <c r="L74" s="189"/>
      <c r="M74" s="219"/>
      <c r="N74" s="220"/>
      <c r="O74" s="220"/>
    </row>
    <row r="75" spans="1:15" ht="16.5" customHeight="1" thickBot="1" thickTop="1">
      <c r="A75" s="183" t="s">
        <v>333</v>
      </c>
      <c r="B75" s="184">
        <f t="shared" si="2"/>
        <v>0.6562500000000002</v>
      </c>
      <c r="C75" s="185">
        <v>160</v>
      </c>
      <c r="D75" s="192" t="str">
        <f>'Groupe B'!Y36</f>
        <v>Le Chesnay</v>
      </c>
      <c r="E75" s="190" t="s">
        <v>243</v>
      </c>
      <c r="F75" s="191"/>
      <c r="G75" s="192">
        <v>1</v>
      </c>
      <c r="H75" s="192">
        <v>2</v>
      </c>
      <c r="I75" s="191"/>
      <c r="J75" s="193" t="s">
        <v>242</v>
      </c>
      <c r="K75" s="204" t="str">
        <f>'Groupe B'!Y37</f>
        <v>Clamart</v>
      </c>
      <c r="L75" s="189"/>
      <c r="M75" s="219"/>
      <c r="N75" s="220"/>
      <c r="O75" s="220"/>
    </row>
    <row r="76" spans="1:15" ht="16.5" customHeight="1" thickBot="1" thickTop="1">
      <c r="A76" s="183" t="s">
        <v>333</v>
      </c>
      <c r="B76" s="184">
        <f t="shared" si="2"/>
        <v>0.6763888888888892</v>
      </c>
      <c r="C76" s="185">
        <v>161</v>
      </c>
      <c r="D76" s="188" t="str">
        <f>'Groupe A'!Y42</f>
        <v>Dinan</v>
      </c>
      <c r="E76" s="186" t="s">
        <v>250</v>
      </c>
      <c r="F76" s="187"/>
      <c r="G76" s="188">
        <v>0</v>
      </c>
      <c r="H76" s="188">
        <v>1</v>
      </c>
      <c r="I76" s="187"/>
      <c r="J76" s="186" t="s">
        <v>251</v>
      </c>
      <c r="K76" s="188" t="str">
        <f>'Groupe A'!Y43</f>
        <v>Rennes</v>
      </c>
      <c r="L76" s="189"/>
      <c r="M76" s="219"/>
      <c r="N76" s="220"/>
      <c r="O76" s="220"/>
    </row>
    <row r="77" spans="1:15" ht="16.5" customHeight="1" thickBot="1" thickTop="1">
      <c r="A77" s="199"/>
      <c r="B77" s="184">
        <f t="shared" si="2"/>
        <v>0.6965277777777781</v>
      </c>
      <c r="C77" s="195"/>
      <c r="D77" s="196"/>
      <c r="E77" s="196"/>
      <c r="F77" s="197"/>
      <c r="G77" s="196"/>
      <c r="H77" s="196"/>
      <c r="I77" s="197"/>
      <c r="J77" s="196"/>
      <c r="K77" s="196"/>
      <c r="L77" s="197"/>
      <c r="M77" s="208"/>
      <c r="N77" s="208"/>
      <c r="O77" s="208"/>
    </row>
    <row r="78" spans="3:15" ht="13.5" thickTop="1">
      <c r="C78" s="5"/>
      <c r="D78" s="5"/>
      <c r="E78" s="5"/>
      <c r="F78" s="5"/>
      <c r="G78" s="6"/>
      <c r="H78" s="6"/>
      <c r="I78" s="5"/>
      <c r="J78" s="5"/>
      <c r="K78" s="5"/>
      <c r="L78" s="5"/>
      <c r="M78" s="95"/>
      <c r="N78" s="95"/>
      <c r="O78" s="95"/>
    </row>
    <row r="79" spans="3:15" ht="12.75">
      <c r="C79" s="5"/>
      <c r="D79" s="5"/>
      <c r="E79" s="5"/>
      <c r="F79" s="5"/>
      <c r="G79" s="6"/>
      <c r="H79" s="6"/>
      <c r="I79" s="5"/>
      <c r="J79" s="5"/>
      <c r="K79" s="5"/>
      <c r="L79" s="5"/>
      <c r="M79" s="95"/>
      <c r="N79" s="95"/>
      <c r="O79" s="95"/>
    </row>
  </sheetData>
  <sheetProtection password="9485" sheet="1"/>
  <mergeCells count="17">
    <mergeCell ref="D68:K68"/>
    <mergeCell ref="I1:O1"/>
    <mergeCell ref="G2:H2"/>
    <mergeCell ref="I2:O2"/>
    <mergeCell ref="K3:O3"/>
    <mergeCell ref="D17:K17"/>
    <mergeCell ref="D45:K45"/>
    <mergeCell ref="N8:O8"/>
    <mergeCell ref="B4:I4"/>
    <mergeCell ref="A5:C5"/>
    <mergeCell ref="J4:L4"/>
    <mergeCell ref="G7:H7"/>
    <mergeCell ref="D7:E7"/>
    <mergeCell ref="J7:K7"/>
    <mergeCell ref="M4:O4"/>
    <mergeCell ref="M7:O7"/>
    <mergeCell ref="D5:O5"/>
  </mergeCells>
  <printOptions/>
  <pageMargins left="0.7" right="0.7" top="0.75" bottom="0.75" header="0.3" footer="0.3"/>
  <pageSetup fitToHeight="0" fitToWidth="1" horizontalDpi="300" verticalDpi="300" orientation="landscape" paperSize="9" scale="81" r:id="rId3"/>
  <headerFooter alignWithMargins="0">
    <oddHeader xml:space="preserve">&amp;C&amp;"Arial,Gras italique"&amp;18Championnat de France 1° Division M et F   
  </oddHeader>
    <oddFooter>&amp;R&amp;"Arial,Gras italique"Terrain N°1</oddFooter>
  </headerFooter>
  <rowBreaks count="2" manualBreakCount="2">
    <brk id="33" max="255" man="1"/>
    <brk id="59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P78"/>
  <sheetViews>
    <sheetView zoomScaleSheetLayoutView="55" zoomScalePageLayoutView="0" workbookViewId="0" topLeftCell="A55">
      <selection activeCell="J78" sqref="J78"/>
    </sheetView>
  </sheetViews>
  <sheetFormatPr defaultColWidth="11.421875" defaultRowHeight="12.75"/>
  <cols>
    <col min="2" max="2" width="8.7109375" style="0" customWidth="1"/>
    <col min="3" max="3" width="5.140625" style="0" customWidth="1"/>
    <col min="4" max="4" width="25.7109375" style="0" customWidth="1"/>
    <col min="5" max="5" width="6.57421875" style="0" customWidth="1"/>
    <col min="6" max="6" width="1.7109375" style="0" customWidth="1"/>
    <col min="7" max="8" width="7.7109375" style="0" customWidth="1"/>
    <col min="9" max="9" width="1.7109375" style="0" customWidth="1"/>
    <col min="10" max="10" width="6.8515625" style="0" customWidth="1"/>
    <col min="11" max="11" width="25.7109375" style="0" customWidth="1"/>
    <col min="12" max="12" width="1.7109375" style="0" customWidth="1"/>
    <col min="13" max="15" width="17.7109375" style="0" customWidth="1"/>
  </cols>
  <sheetData>
    <row r="1" spans="6:15" s="88" customFormat="1" ht="27.75" customHeight="1">
      <c r="F1" s="89"/>
      <c r="G1" s="90" t="s">
        <v>51</v>
      </c>
      <c r="H1" s="91"/>
      <c r="I1" s="257" t="str">
        <f>saison</f>
        <v>2021-2022</v>
      </c>
      <c r="J1" s="257"/>
      <c r="K1" s="257"/>
      <c r="L1" s="257"/>
      <c r="M1" s="257"/>
      <c r="N1" s="257"/>
      <c r="O1" s="257"/>
    </row>
    <row r="2" spans="6:15" s="88" customFormat="1" ht="27.75" customHeight="1">
      <c r="F2" s="89"/>
      <c r="G2" s="243" t="s">
        <v>52</v>
      </c>
      <c r="H2" s="244"/>
      <c r="I2" s="247" t="str">
        <f>lieu</f>
        <v>Laval</v>
      </c>
      <c r="J2" s="248"/>
      <c r="K2" s="248"/>
      <c r="L2" s="248"/>
      <c r="M2" s="248"/>
      <c r="N2" s="248"/>
      <c r="O2" s="248"/>
    </row>
    <row r="3" spans="11:15" s="91" customFormat="1" ht="23.25" customHeight="1">
      <c r="K3" s="258" t="s">
        <v>174</v>
      </c>
      <c r="L3" s="258"/>
      <c r="M3" s="258"/>
      <c r="N3" s="258"/>
      <c r="O3" s="258"/>
    </row>
    <row r="4" spans="1:15" s="91" customFormat="1" ht="21" customHeight="1">
      <c r="A4" s="90" t="s">
        <v>53</v>
      </c>
      <c r="B4" s="247" t="str">
        <f>date</f>
        <v>4-5 et 6 Juin 2022</v>
      </c>
      <c r="C4" s="248"/>
      <c r="D4" s="248"/>
      <c r="E4" s="248"/>
      <c r="F4" s="248"/>
      <c r="G4" s="248"/>
      <c r="H4" s="248"/>
      <c r="I4" s="249"/>
      <c r="J4" s="243" t="s">
        <v>54</v>
      </c>
      <c r="K4" s="243"/>
      <c r="L4" s="244"/>
      <c r="M4" s="247" t="str">
        <f>catégorie</f>
        <v>Division 1 Manche 3</v>
      </c>
      <c r="N4" s="248"/>
      <c r="O4" s="249"/>
    </row>
    <row r="5" spans="1:16" s="88" customFormat="1" ht="15">
      <c r="A5" s="264" t="s">
        <v>55</v>
      </c>
      <c r="B5" s="264"/>
      <c r="C5" s="264"/>
      <c r="D5" s="253" t="str">
        <f>duréematch</f>
        <v>2*11' +2' de mi-temps +1' temps mort par  équipe +3' inter-match = 29'</v>
      </c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94"/>
    </row>
    <row r="6" spans="2:16" s="88" customFormat="1" ht="8.25" customHeight="1" thickBot="1">
      <c r="B6" s="92"/>
      <c r="C6" s="92"/>
      <c r="D6" s="92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5" s="2" customFormat="1" ht="21.75" customHeight="1" thickBot="1" thickTop="1">
      <c r="A7" s="174"/>
      <c r="B7" s="174"/>
      <c r="C7" s="175"/>
      <c r="D7" s="245" t="s">
        <v>13</v>
      </c>
      <c r="E7" s="246"/>
      <c r="F7" s="176"/>
      <c r="G7" s="245" t="s">
        <v>14</v>
      </c>
      <c r="H7" s="246"/>
      <c r="I7" s="176"/>
      <c r="J7" s="245" t="s">
        <v>12</v>
      </c>
      <c r="K7" s="246"/>
      <c r="L7" s="176"/>
      <c r="M7" s="250" t="s">
        <v>175</v>
      </c>
      <c r="N7" s="251"/>
      <c r="O7" s="252"/>
    </row>
    <row r="8" spans="1:15" s="2" customFormat="1" ht="21.75" customHeight="1" thickBot="1" thickTop="1">
      <c r="A8" s="177" t="s">
        <v>176</v>
      </c>
      <c r="B8" s="177" t="s">
        <v>0</v>
      </c>
      <c r="C8" s="178" t="s">
        <v>6</v>
      </c>
      <c r="D8" s="178" t="s">
        <v>4</v>
      </c>
      <c r="E8" s="178" t="s">
        <v>5</v>
      </c>
      <c r="F8" s="181"/>
      <c r="G8" s="178" t="s">
        <v>1</v>
      </c>
      <c r="H8" s="178" t="s">
        <v>2</v>
      </c>
      <c r="I8" s="181"/>
      <c r="J8" s="178" t="s">
        <v>5</v>
      </c>
      <c r="K8" s="178" t="s">
        <v>3</v>
      </c>
      <c r="L8" s="181"/>
      <c r="M8" s="182" t="s">
        <v>306</v>
      </c>
      <c r="N8" s="262" t="s">
        <v>177</v>
      </c>
      <c r="O8" s="263"/>
    </row>
    <row r="9" spans="1:15" ht="16.5" customHeight="1" thickBot="1" thickTop="1">
      <c r="A9" s="183" t="s">
        <v>7</v>
      </c>
      <c r="B9" s="184">
        <v>0.3958333333333333</v>
      </c>
      <c r="C9" s="185">
        <v>201</v>
      </c>
      <c r="D9" s="209" t="str">
        <f>EQFA</f>
        <v>Pontoise F</v>
      </c>
      <c r="E9" s="209" t="s">
        <v>27</v>
      </c>
      <c r="F9" s="210"/>
      <c r="G9" s="206">
        <v>3</v>
      </c>
      <c r="H9" s="206">
        <v>0</v>
      </c>
      <c r="I9" s="210"/>
      <c r="J9" s="209" t="s">
        <v>28</v>
      </c>
      <c r="K9" s="209" t="str">
        <f>EQFB</f>
        <v>Rennes F</v>
      </c>
      <c r="L9" s="181"/>
      <c r="M9" s="235"/>
      <c r="N9" s="220"/>
      <c r="O9" s="228"/>
    </row>
    <row r="10" spans="1:15" ht="16.5" customHeight="1" thickBot="1" thickTop="1">
      <c r="A10" s="183" t="s">
        <v>7</v>
      </c>
      <c r="B10" s="184">
        <f aca="true" t="shared" si="0" ref="B10:B32">B9+durée1</f>
        <v>0.4159722222222222</v>
      </c>
      <c r="C10" s="185">
        <v>202</v>
      </c>
      <c r="D10" s="209" t="str">
        <f>EQFC</f>
        <v>Le Chesnay F</v>
      </c>
      <c r="E10" s="209" t="s">
        <v>29</v>
      </c>
      <c r="F10" s="210"/>
      <c r="G10" s="206">
        <v>5</v>
      </c>
      <c r="H10" s="206">
        <v>2</v>
      </c>
      <c r="I10" s="210"/>
      <c r="J10" s="209" t="s">
        <v>30</v>
      </c>
      <c r="K10" s="209" t="str">
        <f>EQFD</f>
        <v>HOPE F</v>
      </c>
      <c r="L10" s="189"/>
      <c r="M10" s="235"/>
      <c r="N10" s="220"/>
      <c r="O10" s="220"/>
    </row>
    <row r="11" spans="1:15" ht="16.5" customHeight="1" thickBot="1" thickTop="1">
      <c r="A11" s="183" t="s">
        <v>7</v>
      </c>
      <c r="B11" s="184">
        <f t="shared" si="0"/>
        <v>0.43611111111111106</v>
      </c>
      <c r="C11" s="185">
        <v>203</v>
      </c>
      <c r="D11" s="209" t="str">
        <f>EQFE</f>
        <v>Hyères F</v>
      </c>
      <c r="E11" s="209" t="s">
        <v>31</v>
      </c>
      <c r="F11" s="210"/>
      <c r="G11" s="206">
        <v>2</v>
      </c>
      <c r="H11" s="206">
        <v>1</v>
      </c>
      <c r="I11" s="210"/>
      <c r="J11" s="209" t="s">
        <v>32</v>
      </c>
      <c r="K11" s="209" t="str">
        <f>EQFF</f>
        <v>Moirans F</v>
      </c>
      <c r="L11" s="189"/>
      <c r="M11" s="235"/>
      <c r="N11" s="220"/>
      <c r="O11" s="220"/>
    </row>
    <row r="12" spans="1:15" ht="16.5" customHeight="1" thickBot="1" thickTop="1">
      <c r="A12" s="183" t="s">
        <v>7</v>
      </c>
      <c r="B12" s="184">
        <f t="shared" si="0"/>
        <v>0.45624999999999993</v>
      </c>
      <c r="C12" s="185">
        <v>204</v>
      </c>
      <c r="D12" s="209" t="str">
        <f>EQFG</f>
        <v>Fontenay F</v>
      </c>
      <c r="E12" s="209" t="s">
        <v>33</v>
      </c>
      <c r="F12" s="210"/>
      <c r="G12" s="206">
        <v>3</v>
      </c>
      <c r="H12" s="206">
        <v>4</v>
      </c>
      <c r="I12" s="210"/>
      <c r="J12" s="209" t="s">
        <v>34</v>
      </c>
      <c r="K12" s="209" t="str">
        <f>EQFH</f>
        <v>Dinan F</v>
      </c>
      <c r="L12" s="189"/>
      <c r="M12" s="235"/>
      <c r="N12" s="220"/>
      <c r="O12" s="220"/>
    </row>
    <row r="13" spans="1:15" ht="16.5" customHeight="1" thickBot="1" thickTop="1">
      <c r="A13" s="183" t="s">
        <v>7</v>
      </c>
      <c r="B13" s="184">
        <f t="shared" si="0"/>
        <v>0.4763888888888888</v>
      </c>
      <c r="C13" s="185">
        <v>205</v>
      </c>
      <c r="D13" s="190" t="str">
        <f>EQ2E</f>
        <v>Le Puy en Velay</v>
      </c>
      <c r="E13" s="190" t="s">
        <v>19</v>
      </c>
      <c r="F13" s="191"/>
      <c r="G13" s="192">
        <v>2</v>
      </c>
      <c r="H13" s="192">
        <v>1</v>
      </c>
      <c r="I13" s="191"/>
      <c r="J13" s="193" t="s">
        <v>58</v>
      </c>
      <c r="K13" s="194" t="str">
        <f>EQ2F</f>
        <v>HOPE</v>
      </c>
      <c r="L13" s="189"/>
      <c r="M13" s="236"/>
      <c r="N13" s="222"/>
      <c r="O13" s="220"/>
    </row>
    <row r="14" spans="1:15" ht="16.5" customHeight="1" thickBot="1" thickTop="1">
      <c r="A14" s="183" t="s">
        <v>7</v>
      </c>
      <c r="B14" s="184">
        <f t="shared" si="0"/>
        <v>0.4965277777777777</v>
      </c>
      <c r="C14" s="185">
        <v>206</v>
      </c>
      <c r="D14" s="190" t="str">
        <f>EQ2G</f>
        <v>Clermont Ferrand</v>
      </c>
      <c r="E14" s="190" t="s">
        <v>21</v>
      </c>
      <c r="F14" s="191"/>
      <c r="G14" s="192">
        <v>1</v>
      </c>
      <c r="H14" s="192">
        <v>0</v>
      </c>
      <c r="I14" s="191"/>
      <c r="J14" s="193" t="s">
        <v>20</v>
      </c>
      <c r="K14" s="194" t="str">
        <f>EQ2H</f>
        <v>Morlaix</v>
      </c>
      <c r="L14" s="189"/>
      <c r="M14" s="236"/>
      <c r="N14" s="222"/>
      <c r="O14" s="222"/>
    </row>
    <row r="15" spans="1:15" ht="16.5" customHeight="1" thickBot="1" thickTop="1">
      <c r="A15" s="183" t="s">
        <v>7</v>
      </c>
      <c r="B15" s="184">
        <f t="shared" si="0"/>
        <v>0.5166666666666666</v>
      </c>
      <c r="C15" s="185">
        <v>207</v>
      </c>
      <c r="D15" s="209" t="str">
        <f>EQFA</f>
        <v>Pontoise F</v>
      </c>
      <c r="E15" s="209" t="s">
        <v>27</v>
      </c>
      <c r="F15" s="210"/>
      <c r="G15" s="206">
        <v>2</v>
      </c>
      <c r="H15" s="206">
        <v>0</v>
      </c>
      <c r="I15" s="210"/>
      <c r="J15" s="209" t="s">
        <v>29</v>
      </c>
      <c r="K15" s="209" t="str">
        <f>EQFC</f>
        <v>Le Chesnay F</v>
      </c>
      <c r="L15" s="189"/>
      <c r="M15" s="235"/>
      <c r="N15" s="220"/>
      <c r="O15" s="220"/>
    </row>
    <row r="16" spans="1:15" ht="16.5" customHeight="1" thickBot="1" thickTop="1">
      <c r="A16" s="183" t="s">
        <v>7</v>
      </c>
      <c r="B16" s="184">
        <f t="shared" si="0"/>
        <v>0.5368055555555555</v>
      </c>
      <c r="C16" s="185">
        <v>208</v>
      </c>
      <c r="D16" s="209" t="str">
        <f>EQFB</f>
        <v>Rennes F</v>
      </c>
      <c r="E16" s="209" t="s">
        <v>28</v>
      </c>
      <c r="F16" s="210"/>
      <c r="G16" s="206">
        <v>3</v>
      </c>
      <c r="H16" s="206">
        <v>0</v>
      </c>
      <c r="I16" s="210"/>
      <c r="J16" s="209" t="s">
        <v>30</v>
      </c>
      <c r="K16" s="209" t="str">
        <f>EQFD</f>
        <v>HOPE F</v>
      </c>
      <c r="L16" s="189"/>
      <c r="M16" s="235"/>
      <c r="N16" s="222"/>
      <c r="O16" s="222"/>
    </row>
    <row r="17" spans="1:15" ht="16.5" customHeight="1" thickBot="1" thickTop="1">
      <c r="A17" s="183" t="s">
        <v>7</v>
      </c>
      <c r="B17" s="184">
        <f t="shared" si="0"/>
        <v>0.5569444444444445</v>
      </c>
      <c r="C17" s="185"/>
      <c r="D17" s="259" t="s">
        <v>16</v>
      </c>
      <c r="E17" s="260"/>
      <c r="F17" s="260"/>
      <c r="G17" s="260"/>
      <c r="H17" s="260"/>
      <c r="I17" s="260"/>
      <c r="J17" s="260"/>
      <c r="K17" s="261"/>
      <c r="L17" s="189"/>
      <c r="M17" s="235" t="s">
        <v>305</v>
      </c>
      <c r="N17" s="220" t="s">
        <v>305</v>
      </c>
      <c r="O17" s="220" t="s">
        <v>305</v>
      </c>
    </row>
    <row r="18" spans="1:15" ht="16.5" customHeight="1" thickBot="1" thickTop="1">
      <c r="A18" s="183" t="s">
        <v>7</v>
      </c>
      <c r="B18" s="184">
        <f t="shared" si="0"/>
        <v>0.5770833333333334</v>
      </c>
      <c r="C18" s="185">
        <v>209</v>
      </c>
      <c r="D18" s="209" t="str">
        <f>EQFE</f>
        <v>Hyères F</v>
      </c>
      <c r="E18" s="209" t="s">
        <v>31</v>
      </c>
      <c r="F18" s="210"/>
      <c r="G18" s="206">
        <v>4</v>
      </c>
      <c r="H18" s="206">
        <v>1</v>
      </c>
      <c r="I18" s="210"/>
      <c r="J18" s="209" t="s">
        <v>33</v>
      </c>
      <c r="K18" s="209" t="str">
        <f>EQFG</f>
        <v>Fontenay F</v>
      </c>
      <c r="L18" s="189"/>
      <c r="M18" s="235"/>
      <c r="N18" s="220"/>
      <c r="O18" s="222"/>
    </row>
    <row r="19" spans="1:15" ht="16.5" customHeight="1" thickBot="1" thickTop="1">
      <c r="A19" s="183" t="s">
        <v>7</v>
      </c>
      <c r="B19" s="184">
        <f t="shared" si="0"/>
        <v>0.5972222222222223</v>
      </c>
      <c r="C19" s="185">
        <v>210</v>
      </c>
      <c r="D19" s="209" t="str">
        <f>EQFF</f>
        <v>Moirans F</v>
      </c>
      <c r="E19" s="209" t="s">
        <v>32</v>
      </c>
      <c r="F19" s="210"/>
      <c r="G19" s="206">
        <v>4</v>
      </c>
      <c r="H19" s="206">
        <v>1</v>
      </c>
      <c r="I19" s="210"/>
      <c r="J19" s="209" t="s">
        <v>34</v>
      </c>
      <c r="K19" s="209" t="str">
        <f>EQFH</f>
        <v>Dinan F</v>
      </c>
      <c r="L19" s="189"/>
      <c r="M19" s="235"/>
      <c r="N19" s="220"/>
      <c r="O19" s="220"/>
    </row>
    <row r="20" spans="1:15" ht="16.5" customHeight="1" thickBot="1" thickTop="1">
      <c r="A20" s="183" t="s">
        <v>7</v>
      </c>
      <c r="B20" s="184">
        <f t="shared" si="0"/>
        <v>0.6173611111111112</v>
      </c>
      <c r="C20" s="185">
        <v>211</v>
      </c>
      <c r="D20" s="190" t="str">
        <f>EQ2E</f>
        <v>Le Puy en Velay</v>
      </c>
      <c r="E20" s="190" t="s">
        <v>19</v>
      </c>
      <c r="F20" s="191"/>
      <c r="G20" s="192">
        <v>2</v>
      </c>
      <c r="H20" s="192">
        <v>1</v>
      </c>
      <c r="I20" s="191"/>
      <c r="J20" s="193" t="s">
        <v>21</v>
      </c>
      <c r="K20" s="194" t="str">
        <f>EQ2G</f>
        <v>Clermont Ferrand</v>
      </c>
      <c r="L20" s="189"/>
      <c r="M20" s="235"/>
      <c r="N20" s="220"/>
      <c r="O20" s="220"/>
    </row>
    <row r="21" spans="1:15" ht="16.5" customHeight="1" thickBot="1" thickTop="1">
      <c r="A21" s="183" t="s">
        <v>7</v>
      </c>
      <c r="B21" s="184">
        <f t="shared" si="0"/>
        <v>0.6375000000000002</v>
      </c>
      <c r="C21" s="185">
        <v>212</v>
      </c>
      <c r="D21" s="190" t="str">
        <f>EQ2F</f>
        <v>HOPE</v>
      </c>
      <c r="E21" s="190" t="s">
        <v>58</v>
      </c>
      <c r="F21" s="191"/>
      <c r="G21" s="192">
        <v>1</v>
      </c>
      <c r="H21" s="192">
        <v>2</v>
      </c>
      <c r="I21" s="191"/>
      <c r="J21" s="193" t="s">
        <v>20</v>
      </c>
      <c r="K21" s="194" t="str">
        <f>EQ2H</f>
        <v>Morlaix</v>
      </c>
      <c r="L21" s="189"/>
      <c r="M21" s="235"/>
      <c r="N21" s="220"/>
      <c r="O21" s="220"/>
    </row>
    <row r="22" spans="1:15" ht="16.5" customHeight="1" thickBot="1" thickTop="1">
      <c r="A22" s="183" t="s">
        <v>7</v>
      </c>
      <c r="B22" s="184">
        <f t="shared" si="0"/>
        <v>0.6576388888888891</v>
      </c>
      <c r="C22" s="185">
        <v>213</v>
      </c>
      <c r="D22" s="209" t="str">
        <f>EQFD</f>
        <v>HOPE F</v>
      </c>
      <c r="E22" s="209" t="s">
        <v>30</v>
      </c>
      <c r="F22" s="210"/>
      <c r="G22" s="206">
        <v>2</v>
      </c>
      <c r="H22" s="206">
        <v>4</v>
      </c>
      <c r="I22" s="210"/>
      <c r="J22" s="209" t="s">
        <v>27</v>
      </c>
      <c r="K22" s="209" t="str">
        <f>EQFA</f>
        <v>Pontoise F</v>
      </c>
      <c r="L22" s="189"/>
      <c r="M22" s="235"/>
      <c r="N22" s="220"/>
      <c r="O22" s="220"/>
    </row>
    <row r="23" spans="1:15" ht="16.5" customHeight="1" thickBot="1" thickTop="1">
      <c r="A23" s="183" t="s">
        <v>7</v>
      </c>
      <c r="B23" s="184">
        <f t="shared" si="0"/>
        <v>0.677777777777778</v>
      </c>
      <c r="C23" s="185">
        <v>214</v>
      </c>
      <c r="D23" s="209" t="str">
        <f>EQFB</f>
        <v>Rennes F</v>
      </c>
      <c r="E23" s="209" t="s">
        <v>28</v>
      </c>
      <c r="F23" s="210"/>
      <c r="G23" s="206">
        <v>1</v>
      </c>
      <c r="H23" s="206">
        <v>1</v>
      </c>
      <c r="I23" s="210"/>
      <c r="J23" s="209" t="s">
        <v>31</v>
      </c>
      <c r="K23" s="209" t="str">
        <f>EQFE</f>
        <v>Hyères F</v>
      </c>
      <c r="L23" s="189"/>
      <c r="M23" s="235"/>
      <c r="N23" s="220"/>
      <c r="O23" s="220"/>
    </row>
    <row r="24" spans="1:15" ht="16.5" customHeight="1" thickBot="1" thickTop="1">
      <c r="A24" s="183" t="s">
        <v>7</v>
      </c>
      <c r="B24" s="184">
        <f t="shared" si="0"/>
        <v>0.697916666666667</v>
      </c>
      <c r="C24" s="185">
        <v>215</v>
      </c>
      <c r="D24" s="209" t="str">
        <f>EQFF</f>
        <v>Moirans F</v>
      </c>
      <c r="E24" s="209" t="s">
        <v>32</v>
      </c>
      <c r="F24" s="210"/>
      <c r="G24" s="206">
        <v>4</v>
      </c>
      <c r="H24" s="206">
        <v>0</v>
      </c>
      <c r="I24" s="210"/>
      <c r="J24" s="209" t="s">
        <v>33</v>
      </c>
      <c r="K24" s="209" t="str">
        <f>EQFG</f>
        <v>Fontenay F</v>
      </c>
      <c r="L24" s="189"/>
      <c r="M24" s="235"/>
      <c r="N24" s="220"/>
      <c r="O24" s="220"/>
    </row>
    <row r="25" spans="1:15" ht="16.5" customHeight="1" thickBot="1" thickTop="1">
      <c r="A25" s="183" t="s">
        <v>7</v>
      </c>
      <c r="B25" s="184">
        <f t="shared" si="0"/>
        <v>0.7180555555555559</v>
      </c>
      <c r="C25" s="185">
        <v>216</v>
      </c>
      <c r="D25" s="209" t="str">
        <f>EQFH</f>
        <v>Dinan F</v>
      </c>
      <c r="E25" s="209" t="s">
        <v>34</v>
      </c>
      <c r="F25" s="210"/>
      <c r="G25" s="206">
        <v>2</v>
      </c>
      <c r="H25" s="206">
        <v>5</v>
      </c>
      <c r="I25" s="210"/>
      <c r="J25" s="209" t="s">
        <v>29</v>
      </c>
      <c r="K25" s="209" t="str">
        <f>EQFC</f>
        <v>Le Chesnay F</v>
      </c>
      <c r="L25" s="189"/>
      <c r="M25" s="235"/>
      <c r="N25" s="220"/>
      <c r="O25" s="220"/>
    </row>
    <row r="26" spans="1:15" ht="16.5" customHeight="1" thickBot="1" thickTop="1">
      <c r="A26" s="183" t="s">
        <v>7</v>
      </c>
      <c r="B26" s="184">
        <f t="shared" si="0"/>
        <v>0.7381944444444448</v>
      </c>
      <c r="C26" s="185">
        <v>217</v>
      </c>
      <c r="D26" s="190" t="str">
        <f>EQ2G</f>
        <v>Clermont Ferrand</v>
      </c>
      <c r="E26" s="190" t="s">
        <v>21</v>
      </c>
      <c r="F26" s="191"/>
      <c r="G26" s="192">
        <v>0</v>
      </c>
      <c r="H26" s="192">
        <v>8</v>
      </c>
      <c r="I26" s="191"/>
      <c r="J26" s="193" t="s">
        <v>17</v>
      </c>
      <c r="K26" s="194" t="str">
        <f>EQ2C</f>
        <v>Clamart</v>
      </c>
      <c r="L26" s="189"/>
      <c r="M26" s="235"/>
      <c r="N26" s="220"/>
      <c r="O26" s="220"/>
    </row>
    <row r="27" spans="1:15" ht="16.5" customHeight="1" thickBot="1" thickTop="1">
      <c r="A27" s="183" t="s">
        <v>7</v>
      </c>
      <c r="B27" s="184">
        <f t="shared" si="0"/>
        <v>0.7583333333333337</v>
      </c>
      <c r="C27" s="185">
        <v>218</v>
      </c>
      <c r="D27" s="209" t="str">
        <f>EQFA</f>
        <v>Pontoise F</v>
      </c>
      <c r="E27" s="209" t="s">
        <v>27</v>
      </c>
      <c r="F27" s="210"/>
      <c r="G27" s="206">
        <v>2</v>
      </c>
      <c r="H27" s="206">
        <v>0</v>
      </c>
      <c r="I27" s="210"/>
      <c r="J27" s="209" t="s">
        <v>31</v>
      </c>
      <c r="K27" s="209" t="str">
        <f>EQFE</f>
        <v>Hyères F</v>
      </c>
      <c r="L27" s="189"/>
      <c r="M27" s="235"/>
      <c r="N27" s="220"/>
      <c r="O27" s="220"/>
    </row>
    <row r="28" spans="1:15" ht="16.5" customHeight="1" thickBot="1" thickTop="1">
      <c r="A28" s="183" t="s">
        <v>7</v>
      </c>
      <c r="B28" s="184">
        <f t="shared" si="0"/>
        <v>0.7784722222222227</v>
      </c>
      <c r="C28" s="185">
        <v>219</v>
      </c>
      <c r="D28" s="209" t="str">
        <f>EQFB</f>
        <v>Rennes F</v>
      </c>
      <c r="E28" s="209" t="s">
        <v>28</v>
      </c>
      <c r="F28" s="210"/>
      <c r="G28" s="206">
        <v>6</v>
      </c>
      <c r="H28" s="206">
        <v>1</v>
      </c>
      <c r="I28" s="210"/>
      <c r="J28" s="209" t="s">
        <v>32</v>
      </c>
      <c r="K28" s="209" t="str">
        <f>EQFF</f>
        <v>Moirans F</v>
      </c>
      <c r="L28" s="189"/>
      <c r="M28" s="235"/>
      <c r="N28" s="220"/>
      <c r="O28" s="220"/>
    </row>
    <row r="29" spans="1:15" ht="16.5" customHeight="1" thickBot="1" thickTop="1">
      <c r="A29" s="183" t="s">
        <v>7</v>
      </c>
      <c r="B29" s="184">
        <f t="shared" si="0"/>
        <v>0.7986111111111116</v>
      </c>
      <c r="C29" s="185">
        <v>220</v>
      </c>
      <c r="D29" s="209" t="str">
        <f>EQFG</f>
        <v>Fontenay F</v>
      </c>
      <c r="E29" s="209" t="s">
        <v>33</v>
      </c>
      <c r="F29" s="210"/>
      <c r="G29" s="206">
        <v>0</v>
      </c>
      <c r="H29" s="206">
        <v>6</v>
      </c>
      <c r="I29" s="210"/>
      <c r="J29" s="209" t="s">
        <v>29</v>
      </c>
      <c r="K29" s="209" t="str">
        <f>EQFC</f>
        <v>Le Chesnay F</v>
      </c>
      <c r="L29" s="189"/>
      <c r="M29" s="235"/>
      <c r="N29" s="220"/>
      <c r="O29" s="220"/>
    </row>
    <row r="30" spans="1:15" ht="16.5" customHeight="1" thickBot="1" thickTop="1">
      <c r="A30" s="183" t="s">
        <v>7</v>
      </c>
      <c r="B30" s="184">
        <f t="shared" si="0"/>
        <v>0.8187500000000005</v>
      </c>
      <c r="C30" s="185">
        <v>221</v>
      </c>
      <c r="D30" s="209" t="str">
        <f>EQFH</f>
        <v>Dinan F</v>
      </c>
      <c r="E30" s="209" t="s">
        <v>34</v>
      </c>
      <c r="F30" s="210"/>
      <c r="G30" s="206">
        <v>1</v>
      </c>
      <c r="H30" s="206">
        <v>4</v>
      </c>
      <c r="I30" s="210"/>
      <c r="J30" s="209" t="s">
        <v>30</v>
      </c>
      <c r="K30" s="209" t="str">
        <f>EQFD</f>
        <v>HOPE F</v>
      </c>
      <c r="L30" s="189"/>
      <c r="M30" s="235"/>
      <c r="N30" s="220"/>
      <c r="O30" s="220"/>
    </row>
    <row r="31" spans="1:15" ht="16.5" customHeight="1" thickBot="1" thickTop="1">
      <c r="A31" s="183" t="s">
        <v>7</v>
      </c>
      <c r="B31" s="184">
        <f t="shared" si="0"/>
        <v>0.8388888888888895</v>
      </c>
      <c r="C31" s="185">
        <v>222</v>
      </c>
      <c r="D31" s="190" t="str">
        <f>EQ2H</f>
        <v>Morlaix</v>
      </c>
      <c r="E31" s="190" t="s">
        <v>20</v>
      </c>
      <c r="F31" s="191"/>
      <c r="G31" s="192">
        <v>0</v>
      </c>
      <c r="H31" s="192">
        <v>3</v>
      </c>
      <c r="I31" s="191"/>
      <c r="J31" s="193" t="s">
        <v>18</v>
      </c>
      <c r="K31" s="194" t="str">
        <f>EQ2D</f>
        <v>Nantes</v>
      </c>
      <c r="L31" s="189"/>
      <c r="M31" s="235"/>
      <c r="N31" s="220"/>
      <c r="O31" s="220"/>
    </row>
    <row r="32" spans="1:15" ht="16.5" customHeight="1" thickBot="1" thickTop="1">
      <c r="A32" s="183" t="s">
        <v>7</v>
      </c>
      <c r="B32" s="184">
        <f t="shared" si="0"/>
        <v>0.8590277777777784</v>
      </c>
      <c r="C32" s="195"/>
      <c r="D32" s="196"/>
      <c r="E32" s="196"/>
      <c r="F32" s="197"/>
      <c r="G32" s="196"/>
      <c r="H32" s="196"/>
      <c r="I32" s="197"/>
      <c r="J32" s="196"/>
      <c r="K32" s="196"/>
      <c r="L32" s="197"/>
      <c r="M32" s="229"/>
      <c r="N32" s="230"/>
      <c r="O32" s="230"/>
    </row>
    <row r="33" spans="1:15" ht="9.75" customHeight="1" thickBot="1" thickTop="1">
      <c r="A33" s="199"/>
      <c r="B33" s="211"/>
      <c r="C33" s="199"/>
      <c r="D33" s="199"/>
      <c r="E33" s="199"/>
      <c r="F33" s="199"/>
      <c r="G33" s="212"/>
      <c r="H33" s="212"/>
      <c r="I33" s="199"/>
      <c r="J33" s="199"/>
      <c r="K33" s="199"/>
      <c r="L33" s="199"/>
      <c r="M33" s="231"/>
      <c r="N33" s="232"/>
      <c r="O33" s="232"/>
    </row>
    <row r="34" spans="1:15" ht="16.5" customHeight="1" thickBot="1" thickTop="1">
      <c r="A34" s="183" t="s">
        <v>190</v>
      </c>
      <c r="B34" s="184">
        <v>0.3541666666666667</v>
      </c>
      <c r="C34" s="185">
        <v>223</v>
      </c>
      <c r="D34" s="209" t="str">
        <f>EQFF</f>
        <v>Moirans F</v>
      </c>
      <c r="E34" s="209" t="s">
        <v>32</v>
      </c>
      <c r="F34" s="210"/>
      <c r="G34" s="206">
        <v>1</v>
      </c>
      <c r="H34" s="206">
        <v>5</v>
      </c>
      <c r="I34" s="210"/>
      <c r="J34" s="209" t="s">
        <v>27</v>
      </c>
      <c r="K34" s="209" t="str">
        <f>EQFA</f>
        <v>Pontoise F</v>
      </c>
      <c r="L34" s="189"/>
      <c r="M34" s="235"/>
      <c r="N34" s="233"/>
      <c r="O34" s="233"/>
    </row>
    <row r="35" spans="1:15" ht="16.5" customHeight="1" thickBot="1" thickTop="1">
      <c r="A35" s="183" t="s">
        <v>190</v>
      </c>
      <c r="B35" s="184">
        <f aca="true" t="shared" si="1" ref="B35:B58">B34+durée1</f>
        <v>0.37430555555555556</v>
      </c>
      <c r="C35" s="185">
        <v>224</v>
      </c>
      <c r="D35" s="209" t="str">
        <f>EQFC</f>
        <v>Le Chesnay F</v>
      </c>
      <c r="E35" s="209" t="s">
        <v>29</v>
      </c>
      <c r="F35" s="210"/>
      <c r="G35" s="206">
        <v>3</v>
      </c>
      <c r="H35" s="206">
        <v>3</v>
      </c>
      <c r="I35" s="210"/>
      <c r="J35" s="209" t="s">
        <v>28</v>
      </c>
      <c r="K35" s="209" t="str">
        <f>EQFB</f>
        <v>Rennes F</v>
      </c>
      <c r="L35" s="189"/>
      <c r="M35" s="235"/>
      <c r="N35" s="233"/>
      <c r="O35" s="220"/>
    </row>
    <row r="36" spans="1:15" ht="16.5" customHeight="1" thickBot="1" thickTop="1">
      <c r="A36" s="183" t="s">
        <v>190</v>
      </c>
      <c r="B36" s="184">
        <f t="shared" si="1"/>
        <v>0.39444444444444443</v>
      </c>
      <c r="C36" s="185">
        <v>225</v>
      </c>
      <c r="D36" s="209" t="str">
        <f>EQFD</f>
        <v>HOPE F</v>
      </c>
      <c r="E36" s="209" t="s">
        <v>30</v>
      </c>
      <c r="F36" s="210"/>
      <c r="G36" s="206">
        <v>6</v>
      </c>
      <c r="H36" s="206">
        <v>1</v>
      </c>
      <c r="I36" s="210"/>
      <c r="J36" s="209" t="s">
        <v>33</v>
      </c>
      <c r="K36" s="209" t="str">
        <f>EQFG</f>
        <v>Fontenay F</v>
      </c>
      <c r="L36" s="189"/>
      <c r="M36" s="235"/>
      <c r="N36" s="220"/>
      <c r="O36" s="233"/>
    </row>
    <row r="37" spans="1:15" ht="16.5" customHeight="1" thickBot="1" thickTop="1">
      <c r="A37" s="183" t="s">
        <v>190</v>
      </c>
      <c r="B37" s="184">
        <f t="shared" si="1"/>
        <v>0.4145833333333333</v>
      </c>
      <c r="C37" s="185">
        <v>226</v>
      </c>
      <c r="D37" s="209" t="str">
        <f>EQFH</f>
        <v>Dinan F</v>
      </c>
      <c r="E37" s="209" t="s">
        <v>34</v>
      </c>
      <c r="F37" s="210"/>
      <c r="G37" s="206">
        <v>0</v>
      </c>
      <c r="H37" s="206">
        <v>2</v>
      </c>
      <c r="I37" s="210"/>
      <c r="J37" s="209" t="s">
        <v>31</v>
      </c>
      <c r="K37" s="209" t="str">
        <f>EQFE</f>
        <v>Hyères F</v>
      </c>
      <c r="L37" s="189"/>
      <c r="M37" s="235"/>
      <c r="N37" s="233"/>
      <c r="O37" s="233"/>
    </row>
    <row r="38" spans="1:15" ht="16.5" customHeight="1" thickBot="1" thickTop="1">
      <c r="A38" s="183" t="s">
        <v>190</v>
      </c>
      <c r="B38" s="184">
        <f t="shared" si="1"/>
        <v>0.4347222222222222</v>
      </c>
      <c r="C38" s="185">
        <v>227</v>
      </c>
      <c r="D38" s="190" t="str">
        <f>EQ2D</f>
        <v>Nantes</v>
      </c>
      <c r="E38" s="190" t="s">
        <v>18</v>
      </c>
      <c r="F38" s="191"/>
      <c r="G38" s="192">
        <v>3</v>
      </c>
      <c r="H38" s="192">
        <v>0</v>
      </c>
      <c r="I38" s="191"/>
      <c r="J38" s="193" t="s">
        <v>21</v>
      </c>
      <c r="K38" s="194" t="str">
        <f>EQ2G</f>
        <v>Clermont Ferrand</v>
      </c>
      <c r="L38" s="189"/>
      <c r="M38" s="235"/>
      <c r="N38" s="233"/>
      <c r="O38" s="233"/>
    </row>
    <row r="39" spans="1:15" ht="16.5" customHeight="1" thickBot="1" thickTop="1">
      <c r="A39" s="183" t="s">
        <v>190</v>
      </c>
      <c r="B39" s="184">
        <f t="shared" si="1"/>
        <v>0.45486111111111105</v>
      </c>
      <c r="C39" s="185">
        <v>228</v>
      </c>
      <c r="D39" s="190" t="str">
        <f>EQ2H</f>
        <v>Morlaix</v>
      </c>
      <c r="E39" s="190" t="s">
        <v>20</v>
      </c>
      <c r="F39" s="191"/>
      <c r="G39" s="192">
        <v>3</v>
      </c>
      <c r="H39" s="192">
        <v>2</v>
      </c>
      <c r="I39" s="191"/>
      <c r="J39" s="193" t="s">
        <v>19</v>
      </c>
      <c r="K39" s="194" t="str">
        <f>EQ2E</f>
        <v>Le Puy en Velay</v>
      </c>
      <c r="L39" s="189"/>
      <c r="M39" s="235"/>
      <c r="N39" s="233"/>
      <c r="O39" s="233"/>
    </row>
    <row r="40" spans="1:15" ht="16.5" customHeight="1" thickBot="1" thickTop="1">
      <c r="A40" s="183" t="s">
        <v>190</v>
      </c>
      <c r="B40" s="184">
        <f t="shared" si="1"/>
        <v>0.4749999999999999</v>
      </c>
      <c r="C40" s="185">
        <v>229</v>
      </c>
      <c r="D40" s="209" t="str">
        <f>EQFC</f>
        <v>Le Chesnay F</v>
      </c>
      <c r="E40" s="209" t="s">
        <v>29</v>
      </c>
      <c r="F40" s="210"/>
      <c r="G40" s="206">
        <v>5</v>
      </c>
      <c r="H40" s="206">
        <v>0</v>
      </c>
      <c r="I40" s="210"/>
      <c r="J40" s="209" t="s">
        <v>32</v>
      </c>
      <c r="K40" s="209" t="str">
        <f>EQFF</f>
        <v>Moirans F</v>
      </c>
      <c r="L40" s="189"/>
      <c r="M40" s="236"/>
      <c r="N40" s="234"/>
      <c r="O40" s="233"/>
    </row>
    <row r="41" spans="1:15" ht="16.5" customHeight="1" thickBot="1" thickTop="1">
      <c r="A41" s="183" t="s">
        <v>190</v>
      </c>
      <c r="B41" s="184">
        <f t="shared" si="1"/>
        <v>0.4951388888888888</v>
      </c>
      <c r="C41" s="185">
        <v>230</v>
      </c>
      <c r="D41" s="209" t="str">
        <f>EQFG</f>
        <v>Fontenay F</v>
      </c>
      <c r="E41" s="209" t="s">
        <v>33</v>
      </c>
      <c r="F41" s="210"/>
      <c r="G41" s="206">
        <v>0</v>
      </c>
      <c r="H41" s="206">
        <v>4</v>
      </c>
      <c r="I41" s="210"/>
      <c r="J41" s="209" t="s">
        <v>27</v>
      </c>
      <c r="K41" s="209" t="str">
        <f>EQFA</f>
        <v>Pontoise F</v>
      </c>
      <c r="L41" s="189"/>
      <c r="M41" s="235"/>
      <c r="N41" s="234"/>
      <c r="O41" s="234"/>
    </row>
    <row r="42" spans="1:15" ht="16.5" customHeight="1" thickBot="1" thickTop="1">
      <c r="A42" s="183" t="s">
        <v>190</v>
      </c>
      <c r="B42" s="184">
        <f t="shared" si="1"/>
        <v>0.5152777777777777</v>
      </c>
      <c r="C42" s="185">
        <v>231</v>
      </c>
      <c r="D42" s="209" t="str">
        <f>EQFB</f>
        <v>Rennes F</v>
      </c>
      <c r="E42" s="209" t="s">
        <v>28</v>
      </c>
      <c r="F42" s="210"/>
      <c r="G42" s="206">
        <v>6</v>
      </c>
      <c r="H42" s="206">
        <v>0</v>
      </c>
      <c r="I42" s="210"/>
      <c r="J42" s="209" t="s">
        <v>34</v>
      </c>
      <c r="K42" s="209" t="str">
        <f>EQFH</f>
        <v>Dinan F</v>
      </c>
      <c r="L42" s="189"/>
      <c r="M42" s="236"/>
      <c r="N42" s="233"/>
      <c r="O42" s="233"/>
    </row>
    <row r="43" spans="1:15" ht="16.5" customHeight="1" thickBot="1" thickTop="1">
      <c r="A43" s="183" t="s">
        <v>190</v>
      </c>
      <c r="B43" s="184">
        <f t="shared" si="1"/>
        <v>0.5354166666666667</v>
      </c>
      <c r="C43" s="185">
        <v>232</v>
      </c>
      <c r="D43" s="209" t="str">
        <f>EQFE</f>
        <v>Hyères F</v>
      </c>
      <c r="E43" s="209" t="s">
        <v>31</v>
      </c>
      <c r="F43" s="210"/>
      <c r="G43" s="206">
        <v>2</v>
      </c>
      <c r="H43" s="206">
        <v>2</v>
      </c>
      <c r="I43" s="210"/>
      <c r="J43" s="209" t="s">
        <v>30</v>
      </c>
      <c r="K43" s="209" t="str">
        <f>EQFD</f>
        <v>HOPE F</v>
      </c>
      <c r="L43" s="189"/>
      <c r="M43" s="236"/>
      <c r="N43" s="234"/>
      <c r="O43" s="233"/>
    </row>
    <row r="44" spans="1:15" ht="16.5" customHeight="1" thickBot="1" thickTop="1">
      <c r="A44" s="183" t="s">
        <v>190</v>
      </c>
      <c r="B44" s="184">
        <f t="shared" si="1"/>
        <v>0.5555555555555556</v>
      </c>
      <c r="C44" s="185">
        <v>233</v>
      </c>
      <c r="D44" s="190" t="str">
        <f>EQ2B</f>
        <v>Saintes</v>
      </c>
      <c r="E44" s="190" t="s">
        <v>10</v>
      </c>
      <c r="F44" s="191"/>
      <c r="G44" s="192">
        <v>2</v>
      </c>
      <c r="H44" s="192">
        <v>1</v>
      </c>
      <c r="I44" s="191"/>
      <c r="J44" s="193" t="s">
        <v>20</v>
      </c>
      <c r="K44" s="194" t="str">
        <f>EQ2H</f>
        <v>Morlaix</v>
      </c>
      <c r="L44" s="189"/>
      <c r="M44" s="235"/>
      <c r="N44" s="233"/>
      <c r="O44" s="234"/>
    </row>
    <row r="45" spans="1:15" ht="16.5" customHeight="1" thickBot="1" thickTop="1">
      <c r="A45" s="183" t="s">
        <v>190</v>
      </c>
      <c r="B45" s="184">
        <f t="shared" si="1"/>
        <v>0.5756944444444445</v>
      </c>
      <c r="C45" s="185"/>
      <c r="D45" s="259" t="s">
        <v>16</v>
      </c>
      <c r="E45" s="260"/>
      <c r="F45" s="260"/>
      <c r="G45" s="260"/>
      <c r="H45" s="260"/>
      <c r="I45" s="260"/>
      <c r="J45" s="260"/>
      <c r="K45" s="261"/>
      <c r="L45" s="189"/>
      <c r="M45" s="235" t="s">
        <v>305</v>
      </c>
      <c r="N45" s="233" t="s">
        <v>305</v>
      </c>
      <c r="O45" s="233" t="s">
        <v>305</v>
      </c>
    </row>
    <row r="46" spans="1:15" ht="16.5" customHeight="1" thickBot="1" thickTop="1">
      <c r="A46" s="183" t="s">
        <v>190</v>
      </c>
      <c r="B46" s="184">
        <f t="shared" si="1"/>
        <v>0.5958333333333334</v>
      </c>
      <c r="C46" s="185">
        <v>234</v>
      </c>
      <c r="D46" s="192" t="str">
        <f>EQ2E</f>
        <v>Le Puy en Velay</v>
      </c>
      <c r="E46" s="192" t="s">
        <v>19</v>
      </c>
      <c r="F46" s="213"/>
      <c r="G46" s="192">
        <v>1</v>
      </c>
      <c r="H46" s="192">
        <v>0</v>
      </c>
      <c r="I46" s="213"/>
      <c r="J46" s="214" t="s">
        <v>18</v>
      </c>
      <c r="K46" s="204" t="str">
        <f>EQ2D</f>
        <v>Nantes</v>
      </c>
      <c r="L46" s="189"/>
      <c r="M46" s="235"/>
      <c r="N46" s="233"/>
      <c r="O46" s="233"/>
    </row>
    <row r="47" spans="1:15" ht="16.5" customHeight="1" thickBot="1" thickTop="1">
      <c r="A47" s="183" t="s">
        <v>190</v>
      </c>
      <c r="B47" s="184">
        <f t="shared" si="1"/>
        <v>0.6159722222222224</v>
      </c>
      <c r="C47" s="185">
        <v>235</v>
      </c>
      <c r="D47" s="206" t="str">
        <f>EQFA</f>
        <v>Pontoise F</v>
      </c>
      <c r="E47" s="206" t="s">
        <v>27</v>
      </c>
      <c r="F47" s="207"/>
      <c r="G47" s="206">
        <v>7</v>
      </c>
      <c r="H47" s="206">
        <v>0</v>
      </c>
      <c r="I47" s="207"/>
      <c r="J47" s="206" t="s">
        <v>34</v>
      </c>
      <c r="K47" s="206" t="str">
        <f>EQFH</f>
        <v>Dinan F</v>
      </c>
      <c r="L47" s="189"/>
      <c r="M47" s="235"/>
      <c r="N47" s="233"/>
      <c r="O47" s="233"/>
    </row>
    <row r="48" spans="1:15" ht="16.5" customHeight="1" thickBot="1" thickTop="1">
      <c r="A48" s="183" t="s">
        <v>190</v>
      </c>
      <c r="B48" s="184">
        <f t="shared" si="1"/>
        <v>0.6361111111111113</v>
      </c>
      <c r="C48" s="185">
        <v>236</v>
      </c>
      <c r="D48" s="206" t="str">
        <f>EQFG</f>
        <v>Fontenay F</v>
      </c>
      <c r="E48" s="206" t="s">
        <v>33</v>
      </c>
      <c r="F48" s="207"/>
      <c r="G48" s="206">
        <v>2</v>
      </c>
      <c r="H48" s="206">
        <v>4</v>
      </c>
      <c r="I48" s="207"/>
      <c r="J48" s="206" t="s">
        <v>28</v>
      </c>
      <c r="K48" s="206" t="str">
        <f>EQFB</f>
        <v>Rennes F</v>
      </c>
      <c r="L48" s="189"/>
      <c r="M48" s="235"/>
      <c r="N48" s="233"/>
      <c r="O48" s="233"/>
    </row>
    <row r="49" spans="1:15" ht="16.5" customHeight="1" thickBot="1" thickTop="1">
      <c r="A49" s="183" t="s">
        <v>190</v>
      </c>
      <c r="B49" s="184">
        <f t="shared" si="1"/>
        <v>0.6562500000000002</v>
      </c>
      <c r="C49" s="185">
        <v>237</v>
      </c>
      <c r="D49" s="206" t="str">
        <f>EQFD</f>
        <v>HOPE F</v>
      </c>
      <c r="E49" s="206" t="s">
        <v>30</v>
      </c>
      <c r="F49" s="207"/>
      <c r="G49" s="206">
        <v>2</v>
      </c>
      <c r="H49" s="206">
        <v>0</v>
      </c>
      <c r="I49" s="207"/>
      <c r="J49" s="206" t="s">
        <v>32</v>
      </c>
      <c r="K49" s="206" t="str">
        <f>EQFF</f>
        <v>Moirans F</v>
      </c>
      <c r="L49" s="189"/>
      <c r="M49" s="235"/>
      <c r="N49" s="233"/>
      <c r="O49" s="233"/>
    </row>
    <row r="50" spans="1:15" ht="16.5" customHeight="1" thickBot="1" thickTop="1">
      <c r="A50" s="183" t="s">
        <v>190</v>
      </c>
      <c r="B50" s="184">
        <f t="shared" si="1"/>
        <v>0.6763888888888892</v>
      </c>
      <c r="C50" s="185">
        <v>238</v>
      </c>
      <c r="D50" s="206" t="str">
        <f>EQFC</f>
        <v>Le Chesnay F</v>
      </c>
      <c r="E50" s="206" t="s">
        <v>29</v>
      </c>
      <c r="F50" s="207"/>
      <c r="G50" s="206">
        <v>5</v>
      </c>
      <c r="H50" s="206">
        <v>0</v>
      </c>
      <c r="I50" s="207"/>
      <c r="J50" s="206" t="s">
        <v>31</v>
      </c>
      <c r="K50" s="206" t="str">
        <f>EQFE</f>
        <v>Hyères F</v>
      </c>
      <c r="L50" s="189"/>
      <c r="M50" s="235"/>
      <c r="N50" s="233"/>
      <c r="O50" s="233"/>
    </row>
    <row r="51" spans="1:15" ht="16.5" customHeight="1" thickBot="1" thickTop="1">
      <c r="A51" s="183" t="s">
        <v>190</v>
      </c>
      <c r="B51" s="184">
        <f t="shared" si="1"/>
        <v>0.6965277777777781</v>
      </c>
      <c r="C51" s="185">
        <v>239</v>
      </c>
      <c r="D51" s="192" t="str">
        <f>EQ2D</f>
        <v>Nantes</v>
      </c>
      <c r="E51" s="192" t="s">
        <v>18</v>
      </c>
      <c r="F51" s="213"/>
      <c r="G51" s="192">
        <v>2</v>
      </c>
      <c r="H51" s="192">
        <v>4</v>
      </c>
      <c r="I51" s="213"/>
      <c r="J51" s="214" t="s">
        <v>58</v>
      </c>
      <c r="K51" s="204" t="str">
        <f>EQ2F</f>
        <v>HOPE</v>
      </c>
      <c r="L51" s="189"/>
      <c r="M51" s="235"/>
      <c r="N51" s="233"/>
      <c r="O51" s="233"/>
    </row>
    <row r="52" spans="1:15" ht="16.5" customHeight="1" thickBot="1" thickTop="1">
      <c r="A52" s="183" t="s">
        <v>190</v>
      </c>
      <c r="B52" s="184">
        <f t="shared" si="1"/>
        <v>0.716666666666667</v>
      </c>
      <c r="C52" s="185">
        <v>240</v>
      </c>
      <c r="D52" s="192" t="str">
        <f>EQ2C</f>
        <v>Clamart</v>
      </c>
      <c r="E52" s="192" t="s">
        <v>17</v>
      </c>
      <c r="F52" s="213"/>
      <c r="G52" s="192">
        <v>5</v>
      </c>
      <c r="H52" s="192">
        <v>1</v>
      </c>
      <c r="I52" s="213"/>
      <c r="J52" s="214" t="s">
        <v>19</v>
      </c>
      <c r="K52" s="204" t="str">
        <f>EQ2E</f>
        <v>Le Puy en Velay</v>
      </c>
      <c r="L52" s="189"/>
      <c r="M52" s="235"/>
      <c r="N52" s="233"/>
      <c r="O52" s="233"/>
    </row>
    <row r="53" spans="1:15" ht="16.5" customHeight="1" thickBot="1" thickTop="1">
      <c r="A53" s="183" t="s">
        <v>190</v>
      </c>
      <c r="B53" s="184">
        <f t="shared" si="1"/>
        <v>0.7368055555555559</v>
      </c>
      <c r="C53" s="185">
        <v>241</v>
      </c>
      <c r="D53" s="206" t="str">
        <f>IF(Féminines!C30="","",Féminines!C30)</f>
        <v>Pontoise F</v>
      </c>
      <c r="E53" s="206" t="s">
        <v>218</v>
      </c>
      <c r="F53" s="207"/>
      <c r="G53" s="206">
        <v>8</v>
      </c>
      <c r="H53" s="206">
        <v>0</v>
      </c>
      <c r="I53" s="207"/>
      <c r="J53" s="206" t="s">
        <v>225</v>
      </c>
      <c r="K53" s="206" t="str">
        <f>IF(Féminines!C31="","",Féminines!C31)</f>
        <v>Dinan F</v>
      </c>
      <c r="L53" s="189"/>
      <c r="M53" s="235"/>
      <c r="N53" s="233"/>
      <c r="O53" s="233"/>
    </row>
    <row r="54" spans="1:15" ht="16.5" customHeight="1" thickBot="1" thickTop="1">
      <c r="A54" s="183" t="s">
        <v>190</v>
      </c>
      <c r="B54" s="184">
        <f t="shared" si="1"/>
        <v>0.7569444444444449</v>
      </c>
      <c r="C54" s="185">
        <v>242</v>
      </c>
      <c r="D54" s="206" t="str">
        <f>IF(Féminines!H30="","",Féminines!H30)</f>
        <v>HOPE F</v>
      </c>
      <c r="E54" s="206" t="s">
        <v>219</v>
      </c>
      <c r="F54" s="207"/>
      <c r="G54" s="206">
        <v>2</v>
      </c>
      <c r="H54" s="206">
        <v>3</v>
      </c>
      <c r="I54" s="207"/>
      <c r="J54" s="206" t="s">
        <v>224</v>
      </c>
      <c r="K54" s="206" t="str">
        <f>IF(Féminines!H31="","",Féminines!H31)</f>
        <v>Hyères F</v>
      </c>
      <c r="L54" s="189"/>
      <c r="M54" s="235"/>
      <c r="N54" s="233"/>
      <c r="O54" s="233"/>
    </row>
    <row r="55" spans="1:15" ht="16.5" customHeight="1" thickBot="1" thickTop="1">
      <c r="A55" s="183" t="s">
        <v>190</v>
      </c>
      <c r="B55" s="184">
        <f t="shared" si="1"/>
        <v>0.7770833333333338</v>
      </c>
      <c r="C55" s="185">
        <v>243</v>
      </c>
      <c r="D55" s="206" t="str">
        <f>IF(Féminines!P30="","",Féminines!P30)</f>
        <v>Le Chesnay F</v>
      </c>
      <c r="E55" s="206" t="s">
        <v>220</v>
      </c>
      <c r="F55" s="207"/>
      <c r="G55" s="206">
        <v>6</v>
      </c>
      <c r="H55" s="206">
        <v>1</v>
      </c>
      <c r="I55" s="207"/>
      <c r="J55" s="206" t="s">
        <v>223</v>
      </c>
      <c r="K55" s="206" t="str">
        <f>IF(Féminines!P31="","",Féminines!P31)</f>
        <v>Moirans F</v>
      </c>
      <c r="L55" s="189"/>
      <c r="M55" s="235"/>
      <c r="N55" s="233"/>
      <c r="O55" s="233"/>
    </row>
    <row r="56" spans="1:15" ht="16.5" customHeight="1" thickBot="1" thickTop="1">
      <c r="A56" s="183" t="s">
        <v>190</v>
      </c>
      <c r="B56" s="184">
        <f t="shared" si="1"/>
        <v>0.7972222222222227</v>
      </c>
      <c r="C56" s="185">
        <v>244</v>
      </c>
      <c r="D56" s="206" t="str">
        <f>IF(Féminines!Y30="","",Féminines!Y30)</f>
        <v>Rennes F</v>
      </c>
      <c r="E56" s="206" t="s">
        <v>221</v>
      </c>
      <c r="F56" s="207"/>
      <c r="G56" s="206">
        <v>7</v>
      </c>
      <c r="H56" s="206">
        <v>0</v>
      </c>
      <c r="I56" s="207"/>
      <c r="J56" s="206" t="s">
        <v>222</v>
      </c>
      <c r="K56" s="206" t="str">
        <f>IF(Féminines!Y31="","",Féminines!Y31)</f>
        <v>Fontenay F</v>
      </c>
      <c r="L56" s="189"/>
      <c r="M56" s="235"/>
      <c r="N56" s="233"/>
      <c r="O56" s="233"/>
    </row>
    <row r="57" spans="1:15" ht="16.5" customHeight="1" thickBot="1" thickTop="1">
      <c r="A57" s="183" t="s">
        <v>190</v>
      </c>
      <c r="B57" s="184">
        <f t="shared" si="1"/>
        <v>0.8173611111111116</v>
      </c>
      <c r="C57" s="185">
        <v>245</v>
      </c>
      <c r="D57" s="192" t="str">
        <f>IF('Groupe A'!H29="","",'Groupe A'!H29)</f>
        <v>Le Chesnay</v>
      </c>
      <c r="E57" s="215" t="s">
        <v>234</v>
      </c>
      <c r="F57" s="213"/>
      <c r="G57" s="192">
        <v>1</v>
      </c>
      <c r="H57" s="192">
        <v>3</v>
      </c>
      <c r="I57" s="213"/>
      <c r="J57" s="216" t="s">
        <v>235</v>
      </c>
      <c r="K57" s="204" t="str">
        <f>IF('Groupe A'!H30="","",'Groupe A'!H30)</f>
        <v>PESSAC</v>
      </c>
      <c r="L57" s="189"/>
      <c r="M57" s="235"/>
      <c r="N57" s="233"/>
      <c r="O57" s="233"/>
    </row>
    <row r="58" spans="1:15" ht="16.5" customHeight="1" thickBot="1" thickTop="1">
      <c r="A58" s="183" t="s">
        <v>190</v>
      </c>
      <c r="B58" s="184">
        <f t="shared" si="1"/>
        <v>0.8375000000000006</v>
      </c>
      <c r="C58" s="195"/>
      <c r="D58" s="198"/>
      <c r="E58" s="198"/>
      <c r="F58" s="217"/>
      <c r="G58" s="198"/>
      <c r="H58" s="198"/>
      <c r="I58" s="217"/>
      <c r="J58" s="198"/>
      <c r="K58" s="198"/>
      <c r="L58" s="197"/>
      <c r="M58" s="229"/>
      <c r="N58" s="230"/>
      <c r="O58" s="230"/>
    </row>
    <row r="59" spans="1:15" ht="9.75" customHeight="1" thickBot="1" thickTop="1">
      <c r="A59" s="199"/>
      <c r="B59" s="211"/>
      <c r="C59" s="199"/>
      <c r="D59" s="205"/>
      <c r="E59" s="205"/>
      <c r="F59" s="205"/>
      <c r="G59" s="201"/>
      <c r="H59" s="201"/>
      <c r="I59" s="205"/>
      <c r="J59" s="205"/>
      <c r="K59" s="205"/>
      <c r="L59" s="199"/>
      <c r="M59" s="231"/>
      <c r="N59" s="232"/>
      <c r="O59" s="232"/>
    </row>
    <row r="60" spans="1:15" ht="16.5" customHeight="1" thickBot="1" thickTop="1">
      <c r="A60" s="183" t="s">
        <v>333</v>
      </c>
      <c r="B60" s="184">
        <v>0.3541666666666667</v>
      </c>
      <c r="C60" s="185">
        <v>246</v>
      </c>
      <c r="D60" s="192" t="str">
        <f>IF('Groupe B'!C28="","",'Groupe B'!C28)</f>
        <v>Le Chesnay</v>
      </c>
      <c r="E60" s="192" t="s">
        <v>201</v>
      </c>
      <c r="F60" s="192"/>
      <c r="G60" s="192">
        <v>3</v>
      </c>
      <c r="H60" s="192">
        <v>0</v>
      </c>
      <c r="I60" s="192"/>
      <c r="J60" s="192" t="s">
        <v>208</v>
      </c>
      <c r="K60" s="192" t="str">
        <f>IF('Groupe B'!C29="","",'Groupe B'!C29)</f>
        <v>Clermont Ferrand</v>
      </c>
      <c r="L60" s="189"/>
      <c r="M60" s="235"/>
      <c r="N60" s="233"/>
      <c r="O60" s="233"/>
    </row>
    <row r="61" spans="1:15" ht="16.5" customHeight="1" thickBot="1" thickTop="1">
      <c r="A61" s="183" t="s">
        <v>333</v>
      </c>
      <c r="B61" s="184">
        <f aca="true" t="shared" si="2" ref="B61:B77">B60+durée1</f>
        <v>0.37430555555555556</v>
      </c>
      <c r="C61" s="185">
        <v>247</v>
      </c>
      <c r="D61" s="192" t="str">
        <f>IF('Groupe B'!H28="","",'Groupe B'!H28)</f>
        <v>Le Puy en Velay</v>
      </c>
      <c r="E61" s="192" t="s">
        <v>204</v>
      </c>
      <c r="F61" s="192"/>
      <c r="G61" s="192">
        <v>2</v>
      </c>
      <c r="H61" s="192">
        <v>4</v>
      </c>
      <c r="I61" s="192"/>
      <c r="J61" s="192" t="s">
        <v>205</v>
      </c>
      <c r="K61" s="192" t="str">
        <f>IF('Groupe B'!H29="","",'Groupe B'!H29)</f>
        <v>Nantes</v>
      </c>
      <c r="L61" s="189"/>
      <c r="M61" s="235"/>
      <c r="N61" s="233"/>
      <c r="O61" s="220"/>
    </row>
    <row r="62" spans="1:15" ht="16.5" customHeight="1" thickBot="1" thickTop="1">
      <c r="A62" s="183" t="s">
        <v>333</v>
      </c>
      <c r="B62" s="184">
        <f t="shared" si="2"/>
        <v>0.39444444444444443</v>
      </c>
      <c r="C62" s="185">
        <v>248</v>
      </c>
      <c r="D62" s="192" t="str">
        <f>IF('Groupe B'!P28="","",'Groupe B'!P28)</f>
        <v>Saintes</v>
      </c>
      <c r="E62" s="192" t="s">
        <v>203</v>
      </c>
      <c r="F62" s="192"/>
      <c r="G62" s="192">
        <v>6</v>
      </c>
      <c r="H62" s="192">
        <v>1</v>
      </c>
      <c r="I62" s="192"/>
      <c r="J62" s="192" t="s">
        <v>206</v>
      </c>
      <c r="K62" s="192" t="str">
        <f>IF('Groupe B'!P29="","",'Groupe B'!P29)</f>
        <v>HOPE</v>
      </c>
      <c r="L62" s="189"/>
      <c r="M62" s="235"/>
      <c r="N62" s="220"/>
      <c r="O62" s="233"/>
    </row>
    <row r="63" spans="1:15" ht="16.5" customHeight="1" thickBot="1" thickTop="1">
      <c r="A63" s="183" t="s">
        <v>333</v>
      </c>
      <c r="B63" s="184">
        <f t="shared" si="2"/>
        <v>0.4145833333333333</v>
      </c>
      <c r="C63" s="185">
        <v>249</v>
      </c>
      <c r="D63" s="192" t="str">
        <f>IF('Groupe B'!Y28="","",'Groupe B'!Y28)</f>
        <v>Clamart</v>
      </c>
      <c r="E63" s="192" t="s">
        <v>202</v>
      </c>
      <c r="F63" s="192"/>
      <c r="G63" s="192">
        <v>6</v>
      </c>
      <c r="H63" s="192">
        <v>0</v>
      </c>
      <c r="I63" s="192"/>
      <c r="J63" s="192" t="s">
        <v>207</v>
      </c>
      <c r="K63" s="192" t="str">
        <f>IF('Groupe B'!Y29="","",'Groupe B'!Y29)</f>
        <v>Morlaix</v>
      </c>
      <c r="L63" s="189"/>
      <c r="M63" s="235"/>
      <c r="N63" s="233"/>
      <c r="O63" s="233"/>
    </row>
    <row r="64" spans="1:15" ht="16.5" customHeight="1" thickBot="1" thickTop="1">
      <c r="A64" s="183" t="s">
        <v>333</v>
      </c>
      <c r="B64" s="184">
        <f t="shared" si="2"/>
        <v>0.4347222222222222</v>
      </c>
      <c r="C64" s="185">
        <v>250</v>
      </c>
      <c r="D64" s="206" t="str">
        <f>Féminines!C35</f>
        <v>Dinan F</v>
      </c>
      <c r="E64" s="206" t="s">
        <v>145</v>
      </c>
      <c r="F64" s="207"/>
      <c r="G64" s="206">
        <v>2</v>
      </c>
      <c r="H64" s="206">
        <v>3</v>
      </c>
      <c r="I64" s="207"/>
      <c r="J64" s="206" t="s">
        <v>146</v>
      </c>
      <c r="K64" s="206" t="str">
        <f>Féminines!C34</f>
        <v>HOPE F</v>
      </c>
      <c r="L64" s="189"/>
      <c r="M64" s="235"/>
      <c r="N64" s="233"/>
      <c r="O64" s="234"/>
    </row>
    <row r="65" spans="1:15" ht="16.5" customHeight="1" thickBot="1" thickTop="1">
      <c r="A65" s="183" t="s">
        <v>333</v>
      </c>
      <c r="B65" s="184">
        <f t="shared" si="2"/>
        <v>0.45486111111111105</v>
      </c>
      <c r="C65" s="185">
        <v>251</v>
      </c>
      <c r="D65" s="206" t="str">
        <f>Féminines!H35</f>
        <v>Moirans F</v>
      </c>
      <c r="E65" s="206" t="s">
        <v>147</v>
      </c>
      <c r="F65" s="207"/>
      <c r="G65" s="206">
        <v>1</v>
      </c>
      <c r="H65" s="206">
        <v>2</v>
      </c>
      <c r="I65" s="207"/>
      <c r="J65" s="206" t="s">
        <v>148</v>
      </c>
      <c r="K65" s="206" t="str">
        <f>Féminines!H34</f>
        <v>Fontenay F</v>
      </c>
      <c r="L65" s="189"/>
      <c r="M65" s="235"/>
      <c r="N65" s="233"/>
      <c r="O65" s="234"/>
    </row>
    <row r="66" spans="1:15" ht="16.5" customHeight="1" thickBot="1" thickTop="1">
      <c r="A66" s="183" t="s">
        <v>333</v>
      </c>
      <c r="B66" s="184">
        <f t="shared" si="2"/>
        <v>0.4749999999999999</v>
      </c>
      <c r="C66" s="185">
        <v>252</v>
      </c>
      <c r="D66" s="206" t="str">
        <f>Féminines!P35</f>
        <v>Pontoise F</v>
      </c>
      <c r="E66" s="206" t="s">
        <v>149</v>
      </c>
      <c r="F66" s="207"/>
      <c r="G66" s="206">
        <v>4</v>
      </c>
      <c r="H66" s="206">
        <v>0</v>
      </c>
      <c r="I66" s="207"/>
      <c r="J66" s="206" t="s">
        <v>150</v>
      </c>
      <c r="K66" s="206" t="str">
        <f>Féminines!P34</f>
        <v>Hyères F</v>
      </c>
      <c r="L66" s="189"/>
      <c r="M66" s="236"/>
      <c r="N66" s="234"/>
      <c r="O66" s="234"/>
    </row>
    <row r="67" spans="1:15" ht="16.5" customHeight="1" thickBot="1" thickTop="1">
      <c r="A67" s="183" t="s">
        <v>333</v>
      </c>
      <c r="B67" s="184">
        <f t="shared" si="2"/>
        <v>0.4951388888888888</v>
      </c>
      <c r="C67" s="185">
        <v>253</v>
      </c>
      <c r="D67" s="206" t="str">
        <f>Féminines!Y35</f>
        <v>Le Chesnay F</v>
      </c>
      <c r="E67" s="206" t="s">
        <v>151</v>
      </c>
      <c r="F67" s="207"/>
      <c r="G67" s="206">
        <v>2</v>
      </c>
      <c r="H67" s="206">
        <v>3</v>
      </c>
      <c r="I67" s="207"/>
      <c r="J67" s="206" t="s">
        <v>152</v>
      </c>
      <c r="K67" s="206" t="str">
        <f>Féminines!Y34</f>
        <v>Rennes F</v>
      </c>
      <c r="L67" s="189"/>
      <c r="M67" s="235"/>
      <c r="N67" s="234"/>
      <c r="O67" s="233"/>
    </row>
    <row r="68" spans="1:15" ht="16.5" customHeight="1" thickBot="1" thickTop="1">
      <c r="A68" s="183" t="s">
        <v>333</v>
      </c>
      <c r="B68" s="184">
        <f t="shared" si="2"/>
        <v>0.5152777777777777</v>
      </c>
      <c r="C68" s="185"/>
      <c r="D68" s="265" t="s">
        <v>16</v>
      </c>
      <c r="E68" s="266"/>
      <c r="F68" s="266"/>
      <c r="G68" s="266"/>
      <c r="H68" s="266"/>
      <c r="I68" s="266"/>
      <c r="J68" s="266"/>
      <c r="K68" s="267"/>
      <c r="L68" s="189"/>
      <c r="M68" s="235" t="s">
        <v>305</v>
      </c>
      <c r="N68" s="233" t="s">
        <v>305</v>
      </c>
      <c r="O68" s="233" t="s">
        <v>305</v>
      </c>
    </row>
    <row r="69" spans="1:15" ht="16.5" customHeight="1" thickBot="1" thickTop="1">
      <c r="A69" s="183" t="s">
        <v>333</v>
      </c>
      <c r="B69" s="184">
        <f t="shared" si="2"/>
        <v>0.5354166666666667</v>
      </c>
      <c r="C69" s="185">
        <v>254</v>
      </c>
      <c r="D69" s="192" t="str">
        <f>'Groupe B'!H33</f>
        <v>Morlaix</v>
      </c>
      <c r="E69" s="192" t="s">
        <v>226</v>
      </c>
      <c r="F69" s="192"/>
      <c r="G69" s="192">
        <v>2</v>
      </c>
      <c r="H69" s="192">
        <v>3</v>
      </c>
      <c r="I69" s="192"/>
      <c r="J69" s="192" t="s">
        <v>229</v>
      </c>
      <c r="K69" s="192" t="str">
        <f>'Groupe B'!H32</f>
        <v>HOPE</v>
      </c>
      <c r="L69" s="189"/>
      <c r="M69" s="235"/>
      <c r="N69" s="234"/>
      <c r="O69" s="233"/>
    </row>
    <row r="70" spans="1:15" ht="16.5" customHeight="1" thickBot="1" thickTop="1">
      <c r="A70" s="183" t="s">
        <v>333</v>
      </c>
      <c r="B70" s="184">
        <f>B69+durée1</f>
        <v>0.5555555555555556</v>
      </c>
      <c r="C70" s="185">
        <v>255</v>
      </c>
      <c r="D70" s="192" t="str">
        <f>'Groupe B'!Y33</f>
        <v>Clamart</v>
      </c>
      <c r="E70" s="192" t="s">
        <v>227</v>
      </c>
      <c r="F70" s="192"/>
      <c r="G70" s="192">
        <v>5</v>
      </c>
      <c r="H70" s="192">
        <v>2</v>
      </c>
      <c r="I70" s="192"/>
      <c r="J70" s="192" t="s">
        <v>228</v>
      </c>
      <c r="K70" s="192" t="str">
        <f>'Groupe B'!Y32</f>
        <v>Saintes</v>
      </c>
      <c r="L70" s="189"/>
      <c r="M70" s="236"/>
      <c r="N70" s="233"/>
      <c r="O70" s="233"/>
    </row>
    <row r="71" spans="1:15" ht="16.5" customHeight="1" thickBot="1" thickTop="1">
      <c r="A71" s="183" t="s">
        <v>333</v>
      </c>
      <c r="B71" s="184">
        <f t="shared" si="2"/>
        <v>0.5756944444444445</v>
      </c>
      <c r="C71" s="185">
        <v>256</v>
      </c>
      <c r="D71" s="206" t="str">
        <f>Féminines!C39</f>
        <v>Moirans F</v>
      </c>
      <c r="E71" s="206" t="s">
        <v>35</v>
      </c>
      <c r="F71" s="207"/>
      <c r="G71" s="206">
        <v>5</v>
      </c>
      <c r="H71" s="206">
        <v>0</v>
      </c>
      <c r="I71" s="207"/>
      <c r="J71" s="206" t="s">
        <v>36</v>
      </c>
      <c r="K71" s="206" t="str">
        <f>Féminines!C38</f>
        <v>Dinan F</v>
      </c>
      <c r="L71" s="189"/>
      <c r="M71" s="235"/>
      <c r="N71" s="233"/>
      <c r="O71" s="233"/>
    </row>
    <row r="72" spans="1:15" ht="16.5" customHeight="1" thickBot="1" thickTop="1">
      <c r="A72" s="183" t="s">
        <v>333</v>
      </c>
      <c r="B72" s="184">
        <f t="shared" si="2"/>
        <v>0.5958333333333334</v>
      </c>
      <c r="C72" s="185">
        <v>257</v>
      </c>
      <c r="D72" s="192" t="str">
        <f>'Groupe B'!C36</f>
        <v>Clermont Ferrand</v>
      </c>
      <c r="E72" s="192" t="s">
        <v>233</v>
      </c>
      <c r="F72" s="192"/>
      <c r="G72" s="192">
        <v>2</v>
      </c>
      <c r="H72" s="192">
        <v>3</v>
      </c>
      <c r="I72" s="192"/>
      <c r="J72" s="192" t="s">
        <v>230</v>
      </c>
      <c r="K72" s="192" t="str">
        <f>'Groupe B'!C37</f>
        <v>Morlaix</v>
      </c>
      <c r="L72" s="189"/>
      <c r="M72" s="235"/>
      <c r="N72" s="233"/>
      <c r="O72" s="233"/>
    </row>
    <row r="73" spans="1:15" ht="16.5" customHeight="1" thickBot="1" thickTop="1">
      <c r="A73" s="183" t="s">
        <v>333</v>
      </c>
      <c r="B73" s="184">
        <f t="shared" si="2"/>
        <v>0.6159722222222224</v>
      </c>
      <c r="C73" s="185">
        <v>258</v>
      </c>
      <c r="D73" s="206" t="str">
        <f>Féminines!H39</f>
        <v>Fontenay F</v>
      </c>
      <c r="E73" s="206" t="s">
        <v>37</v>
      </c>
      <c r="F73" s="207"/>
      <c r="G73" s="206">
        <v>1</v>
      </c>
      <c r="H73" s="206">
        <v>5</v>
      </c>
      <c r="I73" s="207"/>
      <c r="J73" s="206" t="s">
        <v>38</v>
      </c>
      <c r="K73" s="206" t="str">
        <f>Féminines!H38</f>
        <v>HOPE F</v>
      </c>
      <c r="L73" s="189"/>
      <c r="M73" s="235"/>
      <c r="N73" s="233"/>
      <c r="O73" s="233"/>
    </row>
    <row r="74" spans="1:15" ht="16.5" customHeight="1" thickBot="1" thickTop="1">
      <c r="A74" s="183" t="s">
        <v>333</v>
      </c>
      <c r="B74" s="184">
        <f>B73+durée1</f>
        <v>0.6361111111111113</v>
      </c>
      <c r="C74" s="185">
        <v>259</v>
      </c>
      <c r="D74" s="206" t="str">
        <f>Féminines!Y39</f>
        <v>Rennes F</v>
      </c>
      <c r="E74" s="206" t="s">
        <v>41</v>
      </c>
      <c r="F74" s="207"/>
      <c r="G74" s="206">
        <v>0</v>
      </c>
      <c r="H74" s="206">
        <v>4</v>
      </c>
      <c r="I74" s="207"/>
      <c r="J74" s="206" t="s">
        <v>42</v>
      </c>
      <c r="K74" s="206" t="str">
        <f>Féminines!Y38</f>
        <v>Pontoise F</v>
      </c>
      <c r="L74" s="189"/>
      <c r="M74" s="235"/>
      <c r="N74" s="233"/>
      <c r="O74" s="233"/>
    </row>
    <row r="75" spans="1:15" ht="16.5" customHeight="1" thickBot="1" thickTop="1">
      <c r="A75" s="183" t="s">
        <v>333</v>
      </c>
      <c r="B75" s="184">
        <f t="shared" si="2"/>
        <v>0.6562500000000002</v>
      </c>
      <c r="C75" s="185">
        <v>260</v>
      </c>
      <c r="D75" s="188" t="str">
        <f>'Groupe A'!P42</f>
        <v>Pontoise</v>
      </c>
      <c r="E75" s="186" t="s">
        <v>252</v>
      </c>
      <c r="F75" s="187"/>
      <c r="G75" s="188">
        <v>2</v>
      </c>
      <c r="H75" s="188">
        <v>3</v>
      </c>
      <c r="I75" s="187"/>
      <c r="J75" s="186" t="s">
        <v>253</v>
      </c>
      <c r="K75" s="188" t="str">
        <f>'Groupe A'!P43</f>
        <v>Fontenay</v>
      </c>
      <c r="L75" s="189"/>
      <c r="M75" s="235"/>
      <c r="N75" s="233"/>
      <c r="O75" s="233"/>
    </row>
    <row r="76" spans="1:15" ht="16.5" customHeight="1" thickBot="1" thickTop="1">
      <c r="A76" s="183" t="s">
        <v>333</v>
      </c>
      <c r="B76" s="184">
        <f t="shared" si="2"/>
        <v>0.6763888888888892</v>
      </c>
      <c r="C76" s="185">
        <v>261</v>
      </c>
      <c r="D76" s="206" t="str">
        <f>Féminines!P39</f>
        <v>Le Chesnay F</v>
      </c>
      <c r="E76" s="206" t="s">
        <v>39</v>
      </c>
      <c r="F76" s="207"/>
      <c r="G76" s="206">
        <v>2</v>
      </c>
      <c r="H76" s="206">
        <v>1</v>
      </c>
      <c r="I76" s="207"/>
      <c r="J76" s="206" t="s">
        <v>40</v>
      </c>
      <c r="K76" s="206" t="str">
        <f>Féminines!P38</f>
        <v>Hyères F</v>
      </c>
      <c r="L76" s="189"/>
      <c r="M76" s="235"/>
      <c r="N76" s="233"/>
      <c r="O76" s="233"/>
    </row>
    <row r="77" spans="1:15" ht="16.5" customHeight="1" thickBot="1" thickTop="1">
      <c r="A77" s="183" t="s">
        <v>333</v>
      </c>
      <c r="B77" s="184">
        <f t="shared" si="2"/>
        <v>0.6965277777777781</v>
      </c>
      <c r="C77" s="195"/>
      <c r="D77" s="196"/>
      <c r="E77" s="196"/>
      <c r="F77" s="197"/>
      <c r="G77" s="196"/>
      <c r="H77" s="196"/>
      <c r="I77" s="197"/>
      <c r="J77" s="196"/>
      <c r="K77" s="196"/>
      <c r="L77" s="197"/>
      <c r="M77" s="218"/>
      <c r="N77" s="218"/>
      <c r="O77" s="218"/>
    </row>
    <row r="78" spans="2:15" ht="13.5" thickTop="1">
      <c r="B78" s="4"/>
      <c r="M78" s="3"/>
      <c r="N78" s="3"/>
      <c r="O78" s="3"/>
    </row>
  </sheetData>
  <sheetProtection password="9485" sheet="1"/>
  <mergeCells count="17">
    <mergeCell ref="I1:O1"/>
    <mergeCell ref="G2:H2"/>
    <mergeCell ref="I2:O2"/>
    <mergeCell ref="K3:O3"/>
    <mergeCell ref="B4:I4"/>
    <mergeCell ref="J4:L4"/>
    <mergeCell ref="M4:O4"/>
    <mergeCell ref="M7:O7"/>
    <mergeCell ref="N8:O8"/>
    <mergeCell ref="D45:K45"/>
    <mergeCell ref="D68:K68"/>
    <mergeCell ref="D17:K17"/>
    <mergeCell ref="A5:C5"/>
    <mergeCell ref="D5:O5"/>
    <mergeCell ref="D7:E7"/>
    <mergeCell ref="G7:H7"/>
    <mergeCell ref="J7:K7"/>
  </mergeCells>
  <printOptions/>
  <pageMargins left="0.7" right="0.7" top="0.75" bottom="0.75" header="0.3" footer="0.3"/>
  <pageSetup fitToHeight="0" fitToWidth="1" horizontalDpi="300" verticalDpi="300" orientation="landscape" paperSize="9" scale="81" r:id="rId3"/>
  <headerFooter alignWithMargins="0">
    <oddHeader>&amp;C&amp;"Arial,Gras italique"&amp;18Championnat de France 1° Division M et F 
&amp;R
</oddHeader>
    <oddFooter>&amp;L&amp;"Arial,Gras italique"&amp;14Terrain N°2</oddFooter>
  </headerFooter>
  <rowBreaks count="2" manualBreakCount="2">
    <brk id="33" max="14" man="1"/>
    <brk id="59" max="14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AI44"/>
  <sheetViews>
    <sheetView zoomScale="80" zoomScaleNormal="80" zoomScalePageLayoutView="0" workbookViewId="0" topLeftCell="A22">
      <selection activeCell="H29" sqref="H29:L29"/>
    </sheetView>
  </sheetViews>
  <sheetFormatPr defaultColWidth="11.421875" defaultRowHeight="12.75"/>
  <cols>
    <col min="1" max="1" width="4.421875" style="29" customWidth="1"/>
    <col min="2" max="2" width="6.00390625" style="29" customWidth="1"/>
    <col min="3" max="3" width="23.57421875" style="29" customWidth="1"/>
    <col min="4" max="4" width="6.00390625" style="29" customWidth="1"/>
    <col min="5" max="5" width="5.28125" style="29" customWidth="1"/>
    <col min="6" max="7" width="5.28125" style="32" customWidth="1"/>
    <col min="8" max="31" width="5.28125" style="29" customWidth="1"/>
    <col min="32" max="33" width="5.7109375" style="29" customWidth="1"/>
    <col min="34" max="35" width="9.57421875" style="30" customWidth="1"/>
    <col min="36" max="16384" width="11.421875" style="29" customWidth="1"/>
  </cols>
  <sheetData>
    <row r="1" spans="6:35" s="20" customFormat="1" ht="79.5" customHeight="1">
      <c r="F1" s="21"/>
      <c r="G1" s="21"/>
      <c r="AH1" s="33"/>
      <c r="AI1" s="33"/>
    </row>
    <row r="2" spans="1:35" s="20" customFormat="1" ht="25.5" customHeight="1">
      <c r="A2" s="22" t="s">
        <v>51</v>
      </c>
      <c r="B2" s="22"/>
      <c r="C2" s="271" t="str">
        <f>saison</f>
        <v>2021-2022</v>
      </c>
      <c r="D2" s="272"/>
      <c r="E2" s="272"/>
      <c r="F2" s="272"/>
      <c r="G2" s="272"/>
      <c r="H2" s="273"/>
      <c r="I2" s="23"/>
      <c r="J2" s="284" t="s">
        <v>52</v>
      </c>
      <c r="K2" s="284"/>
      <c r="L2" s="24"/>
      <c r="M2" s="270" t="str">
        <f>lieu</f>
        <v>Laval</v>
      </c>
      <c r="N2" s="270"/>
      <c r="O2" s="270"/>
      <c r="P2" s="270"/>
      <c r="Q2" s="270"/>
      <c r="R2" s="270"/>
      <c r="S2" s="270"/>
      <c r="T2" s="270"/>
      <c r="U2" s="270"/>
      <c r="V2" s="270"/>
      <c r="AH2" s="33"/>
      <c r="AI2" s="33"/>
    </row>
    <row r="3" spans="1:35" s="20" customFormat="1" ht="21" customHeight="1">
      <c r="A3" s="22" t="s">
        <v>53</v>
      </c>
      <c r="C3" s="271" t="str">
        <f>date</f>
        <v>4-5 et 6 Juin 2022</v>
      </c>
      <c r="D3" s="272"/>
      <c r="E3" s="272"/>
      <c r="F3" s="272"/>
      <c r="G3" s="272"/>
      <c r="H3" s="273"/>
      <c r="I3" s="23"/>
      <c r="J3" s="22" t="s">
        <v>54</v>
      </c>
      <c r="K3" s="25"/>
      <c r="L3" s="24"/>
      <c r="M3" s="271" t="str">
        <f>catégorie</f>
        <v>Division 1 Manche 3</v>
      </c>
      <c r="N3" s="272"/>
      <c r="O3" s="272"/>
      <c r="P3" s="272"/>
      <c r="Q3" s="272"/>
      <c r="R3" s="272"/>
      <c r="S3" s="272"/>
      <c r="T3" s="272"/>
      <c r="U3" s="272"/>
      <c r="V3" s="273"/>
      <c r="AH3" s="33"/>
      <c r="AI3" s="33"/>
    </row>
    <row r="4" spans="2:35" s="20" customFormat="1" ht="18" customHeight="1">
      <c r="B4" s="285" t="s">
        <v>55</v>
      </c>
      <c r="C4" s="285"/>
      <c r="D4" s="285"/>
      <c r="E4" s="26" t="str">
        <f>duréematch</f>
        <v>2*11' +2' de mi-temps +1' temps mort par  équipe +3' inter-match = 29'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AH4" s="33"/>
      <c r="AI4" s="33"/>
    </row>
    <row r="5" spans="2:35" s="20" customFormat="1" ht="9.75" customHeight="1">
      <c r="B5" s="27"/>
      <c r="C5" s="27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AH5" s="33"/>
      <c r="AI5" s="33"/>
    </row>
    <row r="6" spans="2:15" ht="15.75">
      <c r="B6" s="30"/>
      <c r="D6" s="30"/>
      <c r="E6" s="31"/>
      <c r="H6" s="30"/>
      <c r="I6" s="30"/>
      <c r="J6" s="30"/>
      <c r="K6" s="30"/>
      <c r="L6" s="30"/>
      <c r="M6" s="30"/>
      <c r="N6" s="30"/>
      <c r="O6" s="30"/>
    </row>
    <row r="7" spans="2:35" s="20" customFormat="1" ht="30" customHeight="1" thickBot="1">
      <c r="B7" s="33"/>
      <c r="C7" s="22"/>
      <c r="D7" s="34">
        <v>101</v>
      </c>
      <c r="E7" s="34">
        <v>102</v>
      </c>
      <c r="F7" s="34">
        <v>103</v>
      </c>
      <c r="G7" s="34">
        <v>104</v>
      </c>
      <c r="H7" s="34">
        <v>107</v>
      </c>
      <c r="I7" s="34">
        <v>108</v>
      </c>
      <c r="J7" s="34">
        <v>109</v>
      </c>
      <c r="K7" s="34">
        <v>110</v>
      </c>
      <c r="L7" s="34">
        <v>113</v>
      </c>
      <c r="M7" s="34">
        <v>114</v>
      </c>
      <c r="N7" s="34">
        <v>115</v>
      </c>
      <c r="O7" s="34">
        <v>116</v>
      </c>
      <c r="P7" s="34">
        <v>123</v>
      </c>
      <c r="Q7" s="34">
        <v>124</v>
      </c>
      <c r="R7" s="34">
        <v>125</v>
      </c>
      <c r="S7" s="34">
        <v>126</v>
      </c>
      <c r="T7" s="34">
        <v>129</v>
      </c>
      <c r="U7" s="34">
        <v>130</v>
      </c>
      <c r="V7" s="34">
        <v>131</v>
      </c>
      <c r="W7" s="34">
        <v>132</v>
      </c>
      <c r="X7" s="34">
        <v>135</v>
      </c>
      <c r="Y7" s="34">
        <v>136</v>
      </c>
      <c r="Z7" s="34">
        <v>137</v>
      </c>
      <c r="AA7" s="34">
        <v>138</v>
      </c>
      <c r="AB7" s="34">
        <v>141</v>
      </c>
      <c r="AC7" s="34">
        <v>142</v>
      </c>
      <c r="AD7" s="34">
        <v>143</v>
      </c>
      <c r="AE7" s="34">
        <v>144</v>
      </c>
      <c r="AF7" s="35" t="s">
        <v>270</v>
      </c>
      <c r="AG7" s="35" t="s">
        <v>56</v>
      </c>
      <c r="AH7" s="119" t="s">
        <v>139</v>
      </c>
      <c r="AI7" s="119" t="s">
        <v>140</v>
      </c>
    </row>
    <row r="8" spans="2:35" ht="15.75">
      <c r="B8" s="36" t="s">
        <v>8</v>
      </c>
      <c r="C8" s="122" t="str">
        <f>EQ1A</f>
        <v>Rennes</v>
      </c>
      <c r="D8" s="112">
        <f>IF('Terrain 1'!G9&lt;&gt;"",'Terrain 1'!G9,"")</f>
        <v>0</v>
      </c>
      <c r="E8" s="123"/>
      <c r="F8" s="123"/>
      <c r="G8" s="123"/>
      <c r="H8" s="123"/>
      <c r="I8" s="123"/>
      <c r="J8" s="112">
        <f>IF('Terrain 1'!G18&lt;&gt;"",'Terrain 1'!G18,"")</f>
        <v>0</v>
      </c>
      <c r="K8" s="123"/>
      <c r="L8" s="112">
        <f>IF('Terrain 1'!H22&lt;&gt;"",'Terrain 1'!H22,"")</f>
        <v>0</v>
      </c>
      <c r="M8" s="123"/>
      <c r="N8" s="123"/>
      <c r="O8" s="123"/>
      <c r="P8" s="112">
        <f>IF('Terrain 1'!G34&lt;&gt;"",'Terrain 1'!G34,"")</f>
        <v>2</v>
      </c>
      <c r="Q8" s="123"/>
      <c r="R8" s="123"/>
      <c r="S8" s="123"/>
      <c r="T8" s="112">
        <f>IF('Terrain 1'!H40&lt;&gt;"",'Terrain 1'!H40,"")</f>
        <v>8</v>
      </c>
      <c r="U8" s="123"/>
      <c r="V8" s="123"/>
      <c r="W8" s="123"/>
      <c r="X8" s="123"/>
      <c r="Y8" s="112">
        <f>IF('Terrain 1'!H48&lt;&gt;"",'Terrain 1'!H48,"")</f>
        <v>2</v>
      </c>
      <c r="Z8" s="123"/>
      <c r="AA8" s="123"/>
      <c r="AB8" s="112">
        <f>IF('Terrain 1'!G53&lt;&gt;"",'Terrain 1'!G53,"")</f>
        <v>4</v>
      </c>
      <c r="AC8" s="123"/>
      <c r="AD8" s="123"/>
      <c r="AE8" s="123"/>
      <c r="AF8" s="112">
        <f>CalculPointMatchs(D8,D9,J8,J10,L8,L11,P8,P12,T8,T13,Y8,Y14,AB8,AB15)</f>
        <v>19.991016</v>
      </c>
      <c r="AG8" s="124">
        <f aca="true" t="shared" si="0" ref="AG8:AG15">IF(AE$10="","",RANK(AF8,$AF$8:$AF$15))</f>
        <v>3</v>
      </c>
      <c r="AH8" s="124">
        <f>SUM(D9,J10,L11,P12,T13,Y14,AB15)</f>
        <v>9</v>
      </c>
      <c r="AI8" s="125">
        <f aca="true" t="shared" si="1" ref="AI8:AI15">SUM(D8:AE8)</f>
        <v>16</v>
      </c>
    </row>
    <row r="9" spans="2:35" ht="15.75">
      <c r="B9" s="126" t="s">
        <v>11</v>
      </c>
      <c r="C9" s="109" t="str">
        <f>EQ1B</f>
        <v>Moirans</v>
      </c>
      <c r="D9" s="110">
        <f>IF('Terrain 1'!H9&lt;&gt;"",'Terrain 1'!H9,"")</f>
        <v>0</v>
      </c>
      <c r="E9" s="120"/>
      <c r="F9" s="120"/>
      <c r="G9" s="120"/>
      <c r="H9" s="110">
        <f>IF('Terrain 1'!G15&lt;&gt;"",'Terrain 1'!G15,"")</f>
        <v>1</v>
      </c>
      <c r="I9" s="120"/>
      <c r="J9" s="120"/>
      <c r="K9" s="120"/>
      <c r="L9" s="120"/>
      <c r="M9" s="110">
        <f>IF('Terrain 1'!G23&lt;&gt;"",'Terrain 1'!G23,"")</f>
        <v>2</v>
      </c>
      <c r="N9" s="120"/>
      <c r="O9" s="120"/>
      <c r="P9" s="120"/>
      <c r="Q9" s="110">
        <f>IF('Terrain 1'!G35&lt;&gt;"",'Terrain 1'!G35,"")</f>
        <v>3</v>
      </c>
      <c r="R9" s="120"/>
      <c r="S9" s="120"/>
      <c r="T9" s="120"/>
      <c r="U9" s="110">
        <f>IF('Terrain 1'!H41&lt;&gt;"",'Terrain 1'!H41,"")</f>
        <v>1</v>
      </c>
      <c r="V9" s="120"/>
      <c r="W9" s="120"/>
      <c r="X9" s="120"/>
      <c r="Y9" s="120"/>
      <c r="Z9" s="110">
        <f>IF('Terrain 1'!G49&lt;&gt;"",'Terrain 1'!G49,"")</f>
        <v>3</v>
      </c>
      <c r="AA9" s="120"/>
      <c r="AB9" s="120"/>
      <c r="AC9" s="110">
        <f>IF('Terrain 1'!H54&lt;&gt;"",'Terrain 1'!H54,"")</f>
        <v>4</v>
      </c>
      <c r="AD9" s="120"/>
      <c r="AE9" s="120"/>
      <c r="AF9" s="110">
        <f>CalculPointMatchs(D9,D8,H9,H11,M9,M12,Q9,Q13,U9,U10,Z9,Z15,AC9,AC14)</f>
        <v>17.991014</v>
      </c>
      <c r="AG9" s="62">
        <f t="shared" si="0"/>
        <v>5</v>
      </c>
      <c r="AH9" s="62">
        <f>SUM(D8,H11,M12,Q13,U10,Z15,AC14)</f>
        <v>9</v>
      </c>
      <c r="AI9" s="127">
        <f t="shared" si="1"/>
        <v>14</v>
      </c>
    </row>
    <row r="10" spans="2:35" ht="15.75">
      <c r="B10" s="126" t="s">
        <v>24</v>
      </c>
      <c r="C10" s="109" t="str">
        <f>EQ1C</f>
        <v>Dinan</v>
      </c>
      <c r="D10" s="121"/>
      <c r="E10" s="110">
        <f>IF('Terrain 1'!G10&lt;&gt;"",'Terrain 1'!G10,"")</f>
        <v>2</v>
      </c>
      <c r="F10" s="120"/>
      <c r="G10" s="120"/>
      <c r="H10" s="120"/>
      <c r="I10" s="120"/>
      <c r="J10" s="110">
        <f>IF('Terrain 1'!H18&lt;&gt;"",'Terrain 1'!H18,"")</f>
        <v>2</v>
      </c>
      <c r="K10" s="120"/>
      <c r="L10" s="120"/>
      <c r="M10" s="120"/>
      <c r="N10" s="120"/>
      <c r="O10" s="110">
        <f>IF('Terrain 1'!H25&lt;&gt;"",'Terrain 1'!H25,"")</f>
        <v>4</v>
      </c>
      <c r="P10" s="120"/>
      <c r="Q10" s="120"/>
      <c r="R10" s="110">
        <f>IF('Terrain 1'!H36&lt;&gt;"",'Terrain 1'!H36,"")</f>
        <v>1</v>
      </c>
      <c r="S10" s="120"/>
      <c r="T10" s="120"/>
      <c r="U10" s="110">
        <f>IF('Terrain 1'!G41&lt;&gt;"",'Terrain 1'!G41,"")</f>
        <v>2</v>
      </c>
      <c r="V10" s="120"/>
      <c r="W10" s="120"/>
      <c r="X10" s="110">
        <f>IF('Terrain 1'!G47&lt;&gt;"",'Terrain 1'!G47,"")</f>
        <v>6</v>
      </c>
      <c r="Y10" s="120"/>
      <c r="Z10" s="120"/>
      <c r="AA10" s="120"/>
      <c r="AB10" s="120"/>
      <c r="AC10" s="120"/>
      <c r="AD10" s="120"/>
      <c r="AE10" s="110">
        <f>IF('Terrain 1'!G56&lt;&gt;"",'Terrain 1'!G56,"")</f>
        <v>4</v>
      </c>
      <c r="AF10" s="110">
        <f>CalculPointMatchs(E10,E11,J10,J8,O10,O15,R10,R14,U10,U9,X10,X13,AE10,AE12)</f>
        <v>27.997021</v>
      </c>
      <c r="AG10" s="62">
        <f t="shared" si="0"/>
        <v>1</v>
      </c>
      <c r="AH10" s="62">
        <f>SUM(E11,J8,O15,R14,U9,X13,AE12)</f>
        <v>3</v>
      </c>
      <c r="AI10" s="127">
        <f t="shared" si="1"/>
        <v>21</v>
      </c>
    </row>
    <row r="11" spans="2:35" ht="15.75">
      <c r="B11" s="126" t="s">
        <v>26</v>
      </c>
      <c r="C11" s="109" t="str">
        <f>EQ1D</f>
        <v>Fontenay</v>
      </c>
      <c r="D11" s="121"/>
      <c r="E11" s="110">
        <f>IF('Terrain 1'!H10&lt;&gt;"",'Terrain 1'!H10,"")</f>
        <v>1</v>
      </c>
      <c r="F11" s="120"/>
      <c r="G11" s="120"/>
      <c r="H11" s="110">
        <f>IF('Terrain 1'!H15&lt;&gt;"",'Terrain 1'!H15,"")</f>
        <v>1</v>
      </c>
      <c r="I11" s="120"/>
      <c r="J11" s="120"/>
      <c r="K11" s="120"/>
      <c r="L11" s="110">
        <f>IF('Terrain 1'!G22&lt;&gt;"",'Terrain 1'!G22,"")</f>
        <v>2</v>
      </c>
      <c r="M11" s="120"/>
      <c r="N11" s="120"/>
      <c r="O11" s="120"/>
      <c r="P11" s="120"/>
      <c r="Q11" s="120"/>
      <c r="R11" s="120"/>
      <c r="S11" s="110">
        <f>IF('Terrain 1'!H37&lt;&gt;"",'Terrain 1'!H37,"")</f>
        <v>6</v>
      </c>
      <c r="T11" s="120"/>
      <c r="U11" s="120"/>
      <c r="V11" s="110">
        <f>IF('Terrain 1'!G42&lt;&gt;"",'Terrain 1'!G42,"")</f>
        <v>3</v>
      </c>
      <c r="W11" s="120"/>
      <c r="X11" s="120"/>
      <c r="Y11" s="120"/>
      <c r="Z11" s="120"/>
      <c r="AA11" s="110">
        <f>IF('Terrain 1'!H50&lt;&gt;"",'Terrain 1'!H50,"")</f>
        <v>3</v>
      </c>
      <c r="AB11" s="120"/>
      <c r="AC11" s="120"/>
      <c r="AD11" s="110">
        <f>IF('Terrain 1'!G55&lt;&gt;"",'Terrain 1'!G55,"")</f>
        <v>4</v>
      </c>
      <c r="AE11" s="120"/>
      <c r="AF11" s="110">
        <f>CalculPointMatchs(E11,E10,H11,H9,L11,L8,S11,S15,V11,V14,AA11,AA12,AD11,AD13)</f>
        <v>22.99602</v>
      </c>
      <c r="AG11" s="62">
        <f t="shared" si="0"/>
        <v>2</v>
      </c>
      <c r="AH11" s="62">
        <f>SUM(E10,H9,L8,S15,V14,AA12,AD13)</f>
        <v>4</v>
      </c>
      <c r="AI11" s="127">
        <f t="shared" si="1"/>
        <v>20</v>
      </c>
    </row>
    <row r="12" spans="2:35" ht="15.75">
      <c r="B12" s="126" t="s">
        <v>22</v>
      </c>
      <c r="C12" s="109" t="str">
        <f>EQ1E</f>
        <v>Pontoise</v>
      </c>
      <c r="D12" s="121"/>
      <c r="E12" s="120"/>
      <c r="F12" s="110">
        <f>IF('Terrain 1'!G11&lt;&gt;"",'Terrain 1'!G11,"")</f>
        <v>4</v>
      </c>
      <c r="G12" s="120"/>
      <c r="H12" s="120"/>
      <c r="I12" s="110">
        <f>IF('Terrain 1'!G16&lt;&gt;"",'Terrain 1'!G16,"")</f>
        <v>2</v>
      </c>
      <c r="J12" s="120"/>
      <c r="K12" s="120"/>
      <c r="L12" s="120"/>
      <c r="M12" s="110">
        <f>IF('Terrain 1'!H23&lt;&gt;"",'Terrain 1'!H23,"")</f>
        <v>3</v>
      </c>
      <c r="N12" s="120"/>
      <c r="O12" s="120"/>
      <c r="P12" s="110">
        <f>IF('Terrain 1'!H34&lt;&gt;"",'Terrain 1'!H34,"")</f>
        <v>1</v>
      </c>
      <c r="Q12" s="120"/>
      <c r="R12" s="120"/>
      <c r="S12" s="120"/>
      <c r="T12" s="120"/>
      <c r="U12" s="120"/>
      <c r="V12" s="120"/>
      <c r="W12" s="110">
        <f>IF('Terrain 1'!H43&lt;&gt;"",'Terrain 1'!H43,"")</f>
        <v>5</v>
      </c>
      <c r="X12" s="120"/>
      <c r="Y12" s="120"/>
      <c r="Z12" s="120"/>
      <c r="AA12" s="110">
        <f>IF('Terrain 1'!G50&lt;&gt;"",'Terrain 1'!G50,"")</f>
        <v>1</v>
      </c>
      <c r="AB12" s="120"/>
      <c r="AC12" s="120"/>
      <c r="AD12" s="120"/>
      <c r="AE12" s="110">
        <f>IF('Terrain 1'!H56&lt;&gt;"",'Terrain 1'!H56,"")</f>
        <v>0</v>
      </c>
      <c r="AF12" s="110">
        <f>CalculPointMatchs(F12,F13,I12,I14,M12,M9,P12,P8,W12,W15,AA12,AA11,AE12,AE10)</f>
        <v>18.987016</v>
      </c>
      <c r="AG12" s="62">
        <f t="shared" si="0"/>
        <v>4</v>
      </c>
      <c r="AH12" s="62">
        <f>SUM(F13,I14,M9,P8,W15,AA11,AE10)</f>
        <v>13</v>
      </c>
      <c r="AI12" s="127">
        <f t="shared" si="1"/>
        <v>16</v>
      </c>
    </row>
    <row r="13" spans="2:35" ht="15.75">
      <c r="B13" s="126" t="s">
        <v>50</v>
      </c>
      <c r="C13" s="109" t="str">
        <f>EQ1F</f>
        <v>Diderot XII</v>
      </c>
      <c r="D13" s="121"/>
      <c r="E13" s="120"/>
      <c r="F13" s="110">
        <f>IF('Terrain 1'!H11&lt;&gt;"",'Terrain 1'!H11,"")</f>
        <v>1</v>
      </c>
      <c r="G13" s="120"/>
      <c r="H13" s="120"/>
      <c r="I13" s="120"/>
      <c r="J13" s="120"/>
      <c r="K13" s="110">
        <f>IF('Terrain 1'!G19&lt;&gt;"",'Terrain 1'!G19,"")</f>
        <v>1</v>
      </c>
      <c r="L13" s="120"/>
      <c r="M13" s="120"/>
      <c r="N13" s="110">
        <f>IF('Terrain 1'!G24&lt;&gt;"",'Terrain 1'!G24,"")</f>
        <v>0</v>
      </c>
      <c r="O13" s="120"/>
      <c r="P13" s="120"/>
      <c r="Q13" s="110">
        <f>IF('Terrain 1'!H35&lt;&gt;"",'Terrain 1'!H35,"")</f>
        <v>1</v>
      </c>
      <c r="R13" s="120"/>
      <c r="S13" s="120"/>
      <c r="T13" s="110">
        <f>IF('Terrain 1'!G40&lt;&gt;"",'Terrain 1'!G40,"")</f>
        <v>1</v>
      </c>
      <c r="U13" s="120"/>
      <c r="V13" s="120"/>
      <c r="W13" s="120"/>
      <c r="X13" s="110">
        <f>IF('Terrain 1'!H47&lt;&gt;"",'Terrain 1'!H47,"")</f>
        <v>1</v>
      </c>
      <c r="Y13" s="120"/>
      <c r="Z13" s="120"/>
      <c r="AA13" s="120"/>
      <c r="AB13" s="120"/>
      <c r="AC13" s="120"/>
      <c r="AD13" s="110">
        <f>IF('Terrain 1'!H55&lt;&gt;"",'Terrain 1'!H55,"")</f>
        <v>0</v>
      </c>
      <c r="AE13" s="120"/>
      <c r="AF13" s="110">
        <f>CalculPointMatchs(F13,F12,K13,K15,N13,N14,Q13,Q9,T13,T8,X13,X10,AD13,AD11)</f>
        <v>6.970005</v>
      </c>
      <c r="AG13" s="62">
        <f t="shared" si="0"/>
        <v>8</v>
      </c>
      <c r="AH13" s="62">
        <f>SUM(F12,K15,N14,Q9,T8,X10,AD11)</f>
        <v>30</v>
      </c>
      <c r="AI13" s="127">
        <f t="shared" si="1"/>
        <v>5</v>
      </c>
    </row>
    <row r="14" spans="2:35" ht="15.75">
      <c r="B14" s="126" t="s">
        <v>23</v>
      </c>
      <c r="C14" s="109" t="str">
        <f>EQ1G</f>
        <v>Franconville</v>
      </c>
      <c r="D14" s="121"/>
      <c r="E14" s="120"/>
      <c r="F14" s="120"/>
      <c r="G14" s="110">
        <f>IF('Terrain 1'!G12&lt;&gt;"",'Terrain 1'!G12,"")</f>
        <v>4</v>
      </c>
      <c r="H14" s="120"/>
      <c r="I14" s="110">
        <f>IF('Terrain 1'!H16&lt;&gt;"",'Terrain 1'!H16,"")</f>
        <v>1</v>
      </c>
      <c r="J14" s="120"/>
      <c r="K14" s="120"/>
      <c r="L14" s="120"/>
      <c r="M14" s="120"/>
      <c r="N14" s="110">
        <f>IF('Terrain 1'!H24&lt;&gt;"",'Terrain 1'!H24,"")</f>
        <v>3</v>
      </c>
      <c r="O14" s="120"/>
      <c r="P14" s="120"/>
      <c r="Q14" s="120"/>
      <c r="R14" s="110">
        <f>IF('Terrain 1'!G36&lt;&gt;"",'Terrain 1'!G36,"")</f>
        <v>0</v>
      </c>
      <c r="S14" s="120"/>
      <c r="T14" s="120"/>
      <c r="U14" s="120"/>
      <c r="V14" s="110">
        <f>IF('Terrain 1'!H42&lt;&gt;"",'Terrain 1'!H42,"")</f>
        <v>0</v>
      </c>
      <c r="W14" s="120"/>
      <c r="X14" s="120"/>
      <c r="Y14" s="110">
        <f>IF('Terrain 1'!G48&lt;&gt;"",'Terrain 1'!G48,"")</f>
        <v>1</v>
      </c>
      <c r="Z14" s="120"/>
      <c r="AA14" s="120"/>
      <c r="AB14" s="120"/>
      <c r="AC14" s="110">
        <f>IF('Terrain 1'!G54&lt;&gt;"",'Terrain 1'!G54,"")</f>
        <v>0</v>
      </c>
      <c r="AD14" s="120"/>
      <c r="AE14" s="120"/>
      <c r="AF14" s="110">
        <f>CalculPointMatchs(G14,G15,I14,I12,N14,N13,R14,R10,V14,V11,Y14,Y8,AC14,AC9)</f>
        <v>12.987009</v>
      </c>
      <c r="AG14" s="62">
        <f t="shared" si="0"/>
        <v>6</v>
      </c>
      <c r="AH14" s="62">
        <f>SUM(G15,I12,N13,R10,V11,Y8,AC9)</f>
        <v>13</v>
      </c>
      <c r="AI14" s="127">
        <f t="shared" si="1"/>
        <v>9</v>
      </c>
    </row>
    <row r="15" spans="2:35" ht="16.5" thickBot="1">
      <c r="B15" s="128" t="s">
        <v>25</v>
      </c>
      <c r="C15" s="129" t="str">
        <f>EQ1H</f>
        <v>Le Chesnay</v>
      </c>
      <c r="D15" s="130"/>
      <c r="E15" s="131"/>
      <c r="F15" s="131"/>
      <c r="G15" s="117">
        <f>IF('Terrain 1'!H12&lt;&gt;"",'Terrain 1'!H12,"")</f>
        <v>1</v>
      </c>
      <c r="H15" s="131"/>
      <c r="I15" s="131"/>
      <c r="J15" s="131"/>
      <c r="K15" s="117">
        <f>IF('Terrain 1'!H19&lt;&gt;"",'Terrain 1'!H19,"")</f>
        <v>2</v>
      </c>
      <c r="L15" s="131"/>
      <c r="M15" s="131"/>
      <c r="N15" s="131"/>
      <c r="O15" s="117">
        <f>IF('Terrain 1'!G25&lt;&gt;"",'Terrain 1'!G25,"")</f>
        <v>0</v>
      </c>
      <c r="P15" s="131"/>
      <c r="Q15" s="131"/>
      <c r="R15" s="131"/>
      <c r="S15" s="117">
        <f>IF('Terrain 1'!G37&lt;&gt;"",'Terrain 1'!G37,"")</f>
        <v>0</v>
      </c>
      <c r="T15" s="131"/>
      <c r="U15" s="131"/>
      <c r="V15" s="131"/>
      <c r="W15" s="117">
        <f>IF('Terrain 1'!G43&lt;&gt;"",'Terrain 1'!G43,"")</f>
        <v>0</v>
      </c>
      <c r="X15" s="131"/>
      <c r="Y15" s="131"/>
      <c r="Z15" s="117">
        <f>IF('Terrain 1'!H49&lt;&gt;"",'Terrain 1'!H49,"")</f>
        <v>2</v>
      </c>
      <c r="AA15" s="131"/>
      <c r="AB15" s="117">
        <f>IF('Terrain 1'!H53&lt;&gt;"",'Terrain 1'!H53,"")</f>
        <v>2</v>
      </c>
      <c r="AC15" s="131"/>
      <c r="AD15" s="131"/>
      <c r="AE15" s="131"/>
      <c r="AF15" s="117">
        <f>CalculPointMatchs(G15,G14,K15,K13,O15,O10,S15,S11,W15,W12,Z15,Z9,AB15,AB8)</f>
        <v>9.973007</v>
      </c>
      <c r="AG15" s="132">
        <f t="shared" si="0"/>
        <v>7</v>
      </c>
      <c r="AH15" s="132">
        <f>SUM(G14,K13,O10,S11,W12,Z9,AB8)</f>
        <v>27</v>
      </c>
      <c r="AI15" s="133">
        <f t="shared" si="1"/>
        <v>7</v>
      </c>
    </row>
    <row r="16" ht="17.25" customHeight="1">
      <c r="E16" s="37"/>
    </row>
    <row r="17" spans="4:9" ht="17.25" customHeight="1" thickBot="1">
      <c r="D17" s="274" t="s">
        <v>141</v>
      </c>
      <c r="E17" s="274"/>
      <c r="F17" s="274" t="s">
        <v>142</v>
      </c>
      <c r="G17" s="274"/>
      <c r="H17" s="33" t="s">
        <v>270</v>
      </c>
      <c r="I17" s="33" t="s">
        <v>56</v>
      </c>
    </row>
    <row r="18" spans="3:9" ht="17.25" customHeight="1">
      <c r="C18" s="111" t="str">
        <f>EQ1A</f>
        <v>Rennes</v>
      </c>
      <c r="D18" s="279">
        <v>16</v>
      </c>
      <c r="E18" s="279"/>
      <c r="F18" s="279">
        <f>_xlfn.IFERROR(17-1.01*INDEX(AG8:AG15,MATCH(C18,C8:C15,0)),"")</f>
        <v>13.969999999999999</v>
      </c>
      <c r="G18" s="279"/>
      <c r="H18" s="112">
        <f>IF(F18="","",SUM(D18:G18))</f>
        <v>29.97</v>
      </c>
      <c r="I18" s="113">
        <f aca="true" t="shared" si="2" ref="I18:I25">IF(F18="","",RANK(H18,$H$18:$H$25))</f>
        <v>2</v>
      </c>
    </row>
    <row r="19" spans="3:9" ht="17.25" customHeight="1">
      <c r="C19" s="114" t="str">
        <f>EQ1B</f>
        <v>Moirans</v>
      </c>
      <c r="D19" s="269">
        <v>15</v>
      </c>
      <c r="E19" s="269"/>
      <c r="F19" s="269">
        <f>_xlfn.IFERROR(17-1.01*INDEX(AG8:AG15,MATCH(C19,C8:C15,0)),"")</f>
        <v>11.95</v>
      </c>
      <c r="G19" s="269"/>
      <c r="H19" s="110">
        <f aca="true" t="shared" si="3" ref="H19:H25">IF(F19="","",SUM(D19:G19))</f>
        <v>26.95</v>
      </c>
      <c r="I19" s="115">
        <f t="shared" si="2"/>
        <v>4</v>
      </c>
    </row>
    <row r="20" spans="3:9" ht="17.25" customHeight="1">
      <c r="C20" s="114" t="str">
        <f>EQ1C</f>
        <v>Dinan</v>
      </c>
      <c r="D20" s="269">
        <v>14</v>
      </c>
      <c r="E20" s="269"/>
      <c r="F20" s="269">
        <f>_xlfn.IFERROR(17-1.01*INDEX(AG8:AG15,MATCH(C20,C8:C15,0)),"")</f>
        <v>15.99</v>
      </c>
      <c r="G20" s="269"/>
      <c r="H20" s="110">
        <f t="shared" si="3"/>
        <v>29.990000000000002</v>
      </c>
      <c r="I20" s="115">
        <f t="shared" si="2"/>
        <v>1</v>
      </c>
    </row>
    <row r="21" spans="3:9" ht="17.25" customHeight="1">
      <c r="C21" s="114" t="str">
        <f>EQ1D</f>
        <v>Fontenay</v>
      </c>
      <c r="D21" s="269">
        <v>13</v>
      </c>
      <c r="E21" s="269"/>
      <c r="F21" s="269">
        <f>_xlfn.IFERROR(17-1.01*INDEX(AG8:AG15,MATCH(C21,C8:C15,0)),"")</f>
        <v>14.98</v>
      </c>
      <c r="G21" s="269"/>
      <c r="H21" s="110">
        <f t="shared" si="3"/>
        <v>27.98</v>
      </c>
      <c r="I21" s="115">
        <f t="shared" si="2"/>
        <v>3</v>
      </c>
    </row>
    <row r="22" spans="3:9" ht="17.25" customHeight="1">
      <c r="C22" s="114" t="str">
        <f>EQ1E</f>
        <v>Pontoise</v>
      </c>
      <c r="D22" s="269">
        <v>12</v>
      </c>
      <c r="E22" s="269"/>
      <c r="F22" s="269">
        <f>_xlfn.IFERROR(17-1.01*INDEX(AG8:AG15,MATCH(C22,C8:C15,0)),"")</f>
        <v>12.96</v>
      </c>
      <c r="G22" s="269"/>
      <c r="H22" s="110">
        <f t="shared" si="3"/>
        <v>24.96</v>
      </c>
      <c r="I22" s="115">
        <f t="shared" si="2"/>
        <v>5</v>
      </c>
    </row>
    <row r="23" spans="3:9" ht="15.75">
      <c r="C23" s="114" t="str">
        <f>EQ1F</f>
        <v>Diderot XII</v>
      </c>
      <c r="D23" s="269">
        <v>11</v>
      </c>
      <c r="E23" s="269"/>
      <c r="F23" s="269">
        <f>_xlfn.IFERROR(17-1.01*INDEX(AG8:AG15,MATCH(C23,C8:C15,0)),"")</f>
        <v>8.92</v>
      </c>
      <c r="G23" s="269"/>
      <c r="H23" s="110">
        <f t="shared" si="3"/>
        <v>19.92</v>
      </c>
      <c r="I23" s="115">
        <f t="shared" si="2"/>
        <v>7</v>
      </c>
    </row>
    <row r="24" spans="3:9" ht="15.75">
      <c r="C24" s="114" t="str">
        <f>EQ1G</f>
        <v>Franconville</v>
      </c>
      <c r="D24" s="269">
        <v>10</v>
      </c>
      <c r="E24" s="269"/>
      <c r="F24" s="269">
        <f>_xlfn.IFERROR(17-1.01*INDEX(AG8:AG15,MATCH(C24,C8:C15,0)),"")</f>
        <v>10.94</v>
      </c>
      <c r="G24" s="269"/>
      <c r="H24" s="110">
        <f t="shared" si="3"/>
        <v>20.939999999999998</v>
      </c>
      <c r="I24" s="115">
        <f t="shared" si="2"/>
        <v>6</v>
      </c>
    </row>
    <row r="25" spans="3:9" ht="16.5" thickBot="1">
      <c r="C25" s="116" t="str">
        <f>EQ1H</f>
        <v>Le Chesnay</v>
      </c>
      <c r="D25" s="268">
        <v>9</v>
      </c>
      <c r="E25" s="268"/>
      <c r="F25" s="268">
        <f>_xlfn.IFERROR(17-1.01*INDEX(AG8:AG15,MATCH(C25,C8:C15,0)),"")</f>
        <v>9.93</v>
      </c>
      <c r="G25" s="268"/>
      <c r="H25" s="117">
        <f t="shared" si="3"/>
        <v>18.93</v>
      </c>
      <c r="I25" s="118">
        <f t="shared" si="2"/>
        <v>8</v>
      </c>
    </row>
    <row r="26" ht="15.75">
      <c r="E26" s="37"/>
    </row>
    <row r="27" spans="2:13" ht="15.75" customHeight="1">
      <c r="B27" s="280" t="s">
        <v>87</v>
      </c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2"/>
    </row>
    <row r="28" spans="3:35" s="68" customFormat="1" ht="18.75" thickBot="1">
      <c r="C28" s="68" t="s">
        <v>86</v>
      </c>
      <c r="E28" s="69"/>
      <c r="H28" s="68" t="s">
        <v>89</v>
      </c>
      <c r="AH28" s="70"/>
      <c r="AI28" s="70"/>
    </row>
    <row r="29" spans="1:35" s="68" customFormat="1" ht="18">
      <c r="A29" s="275" t="s">
        <v>262</v>
      </c>
      <c r="B29" s="276"/>
      <c r="C29" s="138" t="str">
        <f>_xlfn.IFERROR(INDEX(C18:C25,MATCH(7,I18:I25,0)),"")</f>
        <v>Diderot XII</v>
      </c>
      <c r="D29" s="139">
        <f>IF('Terrain 1'!G57="","",'Terrain 1'!G57)</f>
        <v>3</v>
      </c>
      <c r="E29" s="69"/>
      <c r="F29" s="275" t="s">
        <v>264</v>
      </c>
      <c r="G29" s="276"/>
      <c r="H29" s="283" t="str">
        <f>_xlfn.IFERROR(INDEX(C18:C25,MATCH(8,I18:I25,0)),"")</f>
        <v>Le Chesnay</v>
      </c>
      <c r="I29" s="283"/>
      <c r="J29" s="283"/>
      <c r="K29" s="283"/>
      <c r="L29" s="283"/>
      <c r="M29" s="139">
        <f>IF('Terrain 2'!G57="","",'Terrain 2'!G57)</f>
        <v>1</v>
      </c>
      <c r="AH29" s="70"/>
      <c r="AI29" s="70"/>
    </row>
    <row r="30" spans="1:35" s="68" customFormat="1" ht="18.75" thickBot="1">
      <c r="A30" s="277" t="s">
        <v>263</v>
      </c>
      <c r="B30" s="278"/>
      <c r="C30" s="141" t="str">
        <f>_xlfn.IFERROR(INDEX('Groupe B'!C18:C25,MATCH(2,'Groupe B'!I18:I25,0)),"")</f>
        <v>Clamart</v>
      </c>
      <c r="D30" s="142">
        <f>IF('Terrain 1'!H57="","",'Terrain 1'!H57)</f>
        <v>2</v>
      </c>
      <c r="E30" s="69"/>
      <c r="F30" s="277" t="s">
        <v>265</v>
      </c>
      <c r="G30" s="278"/>
      <c r="H30" s="288" t="str">
        <f>_xlfn.IFERROR(INDEX('Groupe B'!C18:C25,MATCH(1,'Groupe B'!I18:I25,0)),"")</f>
        <v>PESSAC</v>
      </c>
      <c r="I30" s="288"/>
      <c r="J30" s="288"/>
      <c r="K30" s="288"/>
      <c r="L30" s="288"/>
      <c r="M30" s="142">
        <f>IF('Terrain 2'!H57="","",'Terrain 2'!H57)</f>
        <v>3</v>
      </c>
      <c r="AH30" s="70"/>
      <c r="AI30" s="70"/>
    </row>
    <row r="31" spans="6:35" s="68" customFormat="1" ht="18">
      <c r="F31" s="69"/>
      <c r="G31" s="69"/>
      <c r="AH31" s="70"/>
      <c r="AI31" s="70"/>
    </row>
    <row r="32" spans="2:35" s="68" customFormat="1" ht="15.75" customHeight="1">
      <c r="B32" s="293" t="s">
        <v>88</v>
      </c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5"/>
      <c r="AH32" s="70"/>
      <c r="AI32" s="70"/>
    </row>
    <row r="33" spans="3:35" s="68" customFormat="1" ht="18.75" thickBot="1">
      <c r="C33" s="68" t="s">
        <v>90</v>
      </c>
      <c r="E33" s="69"/>
      <c r="H33" s="68" t="s">
        <v>91</v>
      </c>
      <c r="P33" s="68" t="s">
        <v>92</v>
      </c>
      <c r="U33" s="69"/>
      <c r="V33" s="70"/>
      <c r="Y33" s="68" t="s">
        <v>93</v>
      </c>
      <c r="AH33" s="70"/>
      <c r="AI33" s="70"/>
    </row>
    <row r="34" spans="2:35" s="68" customFormat="1" ht="18">
      <c r="B34" s="137" t="s">
        <v>194</v>
      </c>
      <c r="C34" s="138" t="str">
        <f>_xlfn.IFERROR(INDEX(C18:C25,MATCH(1,I18:I25,0)),"")</f>
        <v>Dinan</v>
      </c>
      <c r="D34" s="139">
        <f>IF('Terrain 1'!$G60="","",'Terrain 1'!$G60)</f>
        <v>3</v>
      </c>
      <c r="E34" s="69"/>
      <c r="F34" s="71"/>
      <c r="G34" s="137" t="s">
        <v>196</v>
      </c>
      <c r="H34" s="283" t="str">
        <f>_xlfn.IFERROR(INDEX(C18:C25,MATCH(4,I18:I25,0)),"")</f>
        <v>Moirans</v>
      </c>
      <c r="I34" s="283"/>
      <c r="J34" s="283"/>
      <c r="K34" s="283"/>
      <c r="L34" s="283"/>
      <c r="M34" s="139">
        <f>IF('Terrain 1'!$G61="","",'Terrain 1'!$G61)</f>
        <v>2</v>
      </c>
      <c r="O34" s="137" t="s">
        <v>195</v>
      </c>
      <c r="P34" s="283" t="str">
        <f>_xlfn.IFERROR(INDEX(C18:C25,MATCH(3,I18:I25,0)),"")</f>
        <v>Fontenay</v>
      </c>
      <c r="Q34" s="283"/>
      <c r="R34" s="283"/>
      <c r="S34" s="283"/>
      <c r="T34" s="283"/>
      <c r="U34" s="139">
        <f>IF('Terrain 1'!$G62="","",'Terrain 1'!$G62)</f>
        <v>4</v>
      </c>
      <c r="V34" s="71"/>
      <c r="W34" s="69"/>
      <c r="X34" s="137" t="s">
        <v>209</v>
      </c>
      <c r="Y34" s="283" t="str">
        <f>_xlfn.IFERROR(INDEX(C18:C25,MATCH(2,I18:I25,0)),"")</f>
        <v>Rennes</v>
      </c>
      <c r="Z34" s="283"/>
      <c r="AA34" s="283"/>
      <c r="AB34" s="283"/>
      <c r="AC34" s="283"/>
      <c r="AD34" s="139">
        <f>IF('Terrain 1'!$G63="","",'Terrain 1'!$G63)</f>
        <v>4</v>
      </c>
      <c r="AH34" s="70"/>
      <c r="AI34" s="70"/>
    </row>
    <row r="35" spans="2:35" s="68" customFormat="1" ht="18.75" thickBot="1">
      <c r="B35" s="140" t="s">
        <v>200</v>
      </c>
      <c r="C35" s="141" t="str">
        <f>Gagnant(H29:M30)</f>
        <v>PESSAC</v>
      </c>
      <c r="D35" s="142">
        <f>IF('Terrain 1'!$H60="","",'Terrain 1'!$H60)</f>
        <v>1</v>
      </c>
      <c r="E35" s="69"/>
      <c r="F35" s="71"/>
      <c r="G35" s="140" t="s">
        <v>197</v>
      </c>
      <c r="H35" s="288" t="str">
        <f>_xlfn.IFERROR(INDEX(C18:C25,MATCH(5,I18:I25,0)),"")</f>
        <v>Pontoise</v>
      </c>
      <c r="I35" s="288"/>
      <c r="J35" s="288"/>
      <c r="K35" s="288"/>
      <c r="L35" s="288"/>
      <c r="M35" s="142">
        <f>IF('Terrain 1'!$H61="","",'Terrain 1'!$H61)</f>
        <v>3</v>
      </c>
      <c r="O35" s="140" t="s">
        <v>198</v>
      </c>
      <c r="P35" s="288" t="str">
        <f>_xlfn.IFERROR(INDEX(C18:C25,MATCH(6,I18:I25,0)),"")</f>
        <v>Franconville</v>
      </c>
      <c r="Q35" s="288"/>
      <c r="R35" s="288"/>
      <c r="S35" s="288"/>
      <c r="T35" s="288"/>
      <c r="U35" s="142">
        <f>IF('Terrain 1'!$H62="","",'Terrain 1'!$H62)</f>
        <v>0</v>
      </c>
      <c r="V35" s="71"/>
      <c r="W35" s="69"/>
      <c r="X35" s="140" t="s">
        <v>199</v>
      </c>
      <c r="Y35" s="288" t="str">
        <f>Gagnant(C29:D30)</f>
        <v>Diderot XII</v>
      </c>
      <c r="Z35" s="288"/>
      <c r="AA35" s="288"/>
      <c r="AB35" s="288"/>
      <c r="AC35" s="288"/>
      <c r="AD35" s="142">
        <f>IF('Terrain 1'!$H63="","",'Terrain 1'!$H63)</f>
        <v>2</v>
      </c>
      <c r="AH35" s="70"/>
      <c r="AI35" s="70"/>
    </row>
    <row r="36" spans="1:35" s="68" customFormat="1" ht="18">
      <c r="A36" s="72"/>
      <c r="B36" s="42"/>
      <c r="C36" s="72"/>
      <c r="D36" s="72"/>
      <c r="E36" s="72"/>
      <c r="F36" s="74"/>
      <c r="G36" s="43"/>
      <c r="H36" s="72"/>
      <c r="I36" s="72"/>
      <c r="J36" s="72"/>
      <c r="K36" s="72"/>
      <c r="L36" s="72"/>
      <c r="M36" s="72"/>
      <c r="N36" s="75"/>
      <c r="O36" s="41"/>
      <c r="P36" s="72"/>
      <c r="Q36" s="72"/>
      <c r="R36" s="72"/>
      <c r="S36" s="72"/>
      <c r="T36" s="72"/>
      <c r="U36" s="72"/>
      <c r="V36" s="72"/>
      <c r="W36" s="72"/>
      <c r="X36" s="41"/>
      <c r="Y36" s="72"/>
      <c r="Z36" s="72"/>
      <c r="AA36" s="72"/>
      <c r="AB36" s="72"/>
      <c r="AC36" s="72"/>
      <c r="AD36" s="72"/>
      <c r="AH36" s="70"/>
      <c r="AI36" s="70"/>
    </row>
    <row r="37" spans="1:35" s="68" customFormat="1" ht="18.75" thickBot="1">
      <c r="A37" s="72"/>
      <c r="B37" s="41"/>
      <c r="C37" s="72" t="s">
        <v>94</v>
      </c>
      <c r="D37" s="72"/>
      <c r="E37" s="74"/>
      <c r="F37" s="72"/>
      <c r="G37" s="41"/>
      <c r="H37" s="72" t="s">
        <v>95</v>
      </c>
      <c r="I37" s="72"/>
      <c r="J37" s="72"/>
      <c r="K37" s="72"/>
      <c r="L37" s="72"/>
      <c r="M37" s="72"/>
      <c r="N37" s="72"/>
      <c r="O37" s="41"/>
      <c r="P37" s="72" t="s">
        <v>96</v>
      </c>
      <c r="Q37" s="72"/>
      <c r="R37" s="72"/>
      <c r="S37" s="72"/>
      <c r="T37" s="72"/>
      <c r="U37" s="74"/>
      <c r="V37" s="73"/>
      <c r="W37" s="72"/>
      <c r="X37" s="41"/>
      <c r="Y37" s="72" t="s">
        <v>97</v>
      </c>
      <c r="Z37" s="72"/>
      <c r="AA37" s="72"/>
      <c r="AB37" s="72"/>
      <c r="AC37" s="72"/>
      <c r="AD37" s="72"/>
      <c r="AH37" s="70"/>
      <c r="AI37" s="70"/>
    </row>
    <row r="38" spans="1:35" s="68" customFormat="1" ht="18">
      <c r="A38" s="72"/>
      <c r="B38" s="143" t="s">
        <v>98</v>
      </c>
      <c r="C38" s="138" t="str">
        <f>Perdant(C34:D35)</f>
        <v>PESSAC</v>
      </c>
      <c r="D38" s="139">
        <f>IF('Terrain 1'!$G64="","",'Terrain 1'!$G64)</f>
        <v>2</v>
      </c>
      <c r="E38" s="74"/>
      <c r="F38" s="75"/>
      <c r="G38" s="151" t="s">
        <v>100</v>
      </c>
      <c r="H38" s="290" t="str">
        <f>Perdant(P34:U35)</f>
        <v>Franconville</v>
      </c>
      <c r="I38" s="290"/>
      <c r="J38" s="290"/>
      <c r="K38" s="290"/>
      <c r="L38" s="290"/>
      <c r="M38" s="153">
        <f>IF('Terrain 1'!$G65="","",'Terrain 1'!$G65)</f>
        <v>3</v>
      </c>
      <c r="N38" s="72"/>
      <c r="O38" s="151" t="s">
        <v>102</v>
      </c>
      <c r="P38" s="290" t="str">
        <f>Gagnant(C34:D35)</f>
        <v>Dinan</v>
      </c>
      <c r="Q38" s="290"/>
      <c r="R38" s="290"/>
      <c r="S38" s="290"/>
      <c r="T38" s="290"/>
      <c r="U38" s="153">
        <f>IF('Terrain 1'!$G66="","",'Terrain 1'!$G66)</f>
        <v>3</v>
      </c>
      <c r="V38" s="75"/>
      <c r="W38" s="74"/>
      <c r="X38" s="143" t="s">
        <v>104</v>
      </c>
      <c r="Y38" s="283" t="str">
        <f>Gagnant(P34:U35)</f>
        <v>Fontenay</v>
      </c>
      <c r="Z38" s="283"/>
      <c r="AA38" s="283"/>
      <c r="AB38" s="283"/>
      <c r="AC38" s="283"/>
      <c r="AD38" s="139">
        <f>IF('Terrain 1'!$G67="","",'Terrain 1'!$G67)</f>
        <v>1</v>
      </c>
      <c r="AH38" s="70"/>
      <c r="AI38" s="70"/>
    </row>
    <row r="39" spans="1:35" s="68" customFormat="1" ht="18.75" thickBot="1">
      <c r="A39" s="72"/>
      <c r="B39" s="144" t="s">
        <v>99</v>
      </c>
      <c r="C39" s="141" t="str">
        <f>Perdant(H34:M35)</f>
        <v>Moirans</v>
      </c>
      <c r="D39" s="142">
        <f>IF('Terrain 1'!$H64="","",'Terrain 1'!$H64)</f>
        <v>3</v>
      </c>
      <c r="E39" s="74"/>
      <c r="F39" s="75"/>
      <c r="G39" s="152" t="s">
        <v>101</v>
      </c>
      <c r="H39" s="296" t="str">
        <f>Perdant(Y34:AD35)</f>
        <v>Diderot XII</v>
      </c>
      <c r="I39" s="296"/>
      <c r="J39" s="296"/>
      <c r="K39" s="296"/>
      <c r="L39" s="296"/>
      <c r="M39" s="154">
        <f>IF('Terrain 1'!$H65="","",'Terrain 1'!$H65)</f>
        <v>0</v>
      </c>
      <c r="N39" s="72"/>
      <c r="O39" s="152" t="s">
        <v>103</v>
      </c>
      <c r="P39" s="296" t="str">
        <f>Gagnant(H34:M35)</f>
        <v>Pontoise</v>
      </c>
      <c r="Q39" s="296"/>
      <c r="R39" s="296"/>
      <c r="S39" s="296"/>
      <c r="T39" s="296"/>
      <c r="U39" s="154">
        <f>IF('Terrain 1'!$H66="","",'Terrain 1'!$H66)</f>
        <v>1</v>
      </c>
      <c r="V39" s="75"/>
      <c r="W39" s="74"/>
      <c r="X39" s="144" t="s">
        <v>105</v>
      </c>
      <c r="Y39" s="288" t="str">
        <f>Gagnant(Y34:AD35)</f>
        <v>Rennes</v>
      </c>
      <c r="Z39" s="288"/>
      <c r="AA39" s="288"/>
      <c r="AB39" s="288"/>
      <c r="AC39" s="288"/>
      <c r="AD39" s="142">
        <f>IF('Terrain 1'!$H67="","",'Terrain 1'!$H67)</f>
        <v>2</v>
      </c>
      <c r="AH39" s="70"/>
      <c r="AI39" s="70"/>
    </row>
    <row r="40" spans="1:35" s="68" customFormat="1" ht="18">
      <c r="A40" s="72"/>
      <c r="B40" s="73"/>
      <c r="C40" s="72"/>
      <c r="D40" s="72"/>
      <c r="E40" s="72"/>
      <c r="F40" s="74"/>
      <c r="G40" s="43"/>
      <c r="H40" s="72"/>
      <c r="I40" s="72"/>
      <c r="J40" s="72"/>
      <c r="K40" s="72"/>
      <c r="L40" s="72"/>
      <c r="M40" s="72"/>
      <c r="N40" s="75"/>
      <c r="O40" s="41"/>
      <c r="P40" s="72"/>
      <c r="Q40" s="72"/>
      <c r="R40" s="72"/>
      <c r="S40" s="72"/>
      <c r="T40" s="72"/>
      <c r="U40" s="72"/>
      <c r="V40" s="72"/>
      <c r="W40" s="72"/>
      <c r="X40" s="41"/>
      <c r="Y40" s="72"/>
      <c r="Z40" s="72"/>
      <c r="AA40" s="72"/>
      <c r="AB40" s="72"/>
      <c r="AC40" s="72"/>
      <c r="AD40" s="72"/>
      <c r="AH40" s="70"/>
      <c r="AI40" s="70"/>
    </row>
    <row r="41" spans="1:35" s="68" customFormat="1" ht="19.5" customHeight="1" thickBot="1">
      <c r="A41" s="72"/>
      <c r="B41" s="72"/>
      <c r="C41" s="72" t="s">
        <v>114</v>
      </c>
      <c r="D41" s="72"/>
      <c r="G41" s="41"/>
      <c r="H41" s="72" t="s">
        <v>115</v>
      </c>
      <c r="I41" s="72"/>
      <c r="J41" s="72"/>
      <c r="M41" s="72"/>
      <c r="O41" s="41"/>
      <c r="P41" s="72" t="s">
        <v>68</v>
      </c>
      <c r="Q41" s="72"/>
      <c r="R41" s="72"/>
      <c r="U41" s="72"/>
      <c r="V41" s="73"/>
      <c r="W41" s="72"/>
      <c r="X41" s="41"/>
      <c r="Y41" s="72" t="s">
        <v>117</v>
      </c>
      <c r="Z41" s="72"/>
      <c r="AA41" s="72"/>
      <c r="AB41" s="72"/>
      <c r="AD41" s="72"/>
      <c r="AH41" s="70"/>
      <c r="AI41" s="70"/>
    </row>
    <row r="42" spans="1:35" s="68" customFormat="1" ht="18">
      <c r="A42" s="72"/>
      <c r="B42" s="145" t="s">
        <v>106</v>
      </c>
      <c r="C42" s="146" t="str">
        <f>Perdant(C38:D39)</f>
        <v>PESSAC</v>
      </c>
      <c r="D42" s="147">
        <f>IF('Terrain 1'!$G70="","",'Terrain 1'!$G70)</f>
        <v>1</v>
      </c>
      <c r="E42" s="74"/>
      <c r="F42" s="75"/>
      <c r="G42" s="145" t="s">
        <v>108</v>
      </c>
      <c r="H42" s="292" t="str">
        <f>Gagnant(C38:D39)</f>
        <v>Moirans</v>
      </c>
      <c r="I42" s="292"/>
      <c r="J42" s="292"/>
      <c r="K42" s="292"/>
      <c r="L42" s="292"/>
      <c r="M42" s="147">
        <f>IF('Terrain 1'!$G72="","",'Terrain 1'!$G72)</f>
        <v>2</v>
      </c>
      <c r="N42" s="72"/>
      <c r="O42" s="145" t="s">
        <v>110</v>
      </c>
      <c r="P42" s="292" t="str">
        <f>Perdant(P38:U39)</f>
        <v>Pontoise</v>
      </c>
      <c r="Q42" s="292"/>
      <c r="R42" s="292"/>
      <c r="S42" s="292"/>
      <c r="T42" s="292"/>
      <c r="U42" s="147">
        <f>IF('Terrain 2'!$G75="","",'Terrain 2'!$G75)</f>
        <v>2</v>
      </c>
      <c r="V42" s="75"/>
      <c r="W42" s="74"/>
      <c r="X42" s="145" t="s">
        <v>112</v>
      </c>
      <c r="Y42" s="292" t="str">
        <f>Gagnant(P38:U39)</f>
        <v>Dinan</v>
      </c>
      <c r="Z42" s="292"/>
      <c r="AA42" s="292"/>
      <c r="AB42" s="292"/>
      <c r="AC42" s="292"/>
      <c r="AD42" s="147">
        <f>IF('Terrain 1'!$G76="","",'Terrain 1'!$G76)</f>
        <v>0</v>
      </c>
      <c r="AH42" s="70"/>
      <c r="AI42" s="70"/>
    </row>
    <row r="43" spans="1:35" s="68" customFormat="1" ht="18.75" thickBot="1">
      <c r="A43" s="72"/>
      <c r="B43" s="148" t="s">
        <v>107</v>
      </c>
      <c r="C43" s="149" t="str">
        <f>Perdant(H38:M39)</f>
        <v>Diderot XII</v>
      </c>
      <c r="D43" s="150">
        <f>IF('Terrain 1'!$H70="","",'Terrain 1'!$H70)</f>
        <v>0</v>
      </c>
      <c r="E43" s="74"/>
      <c r="F43" s="75"/>
      <c r="G43" s="148" t="s">
        <v>109</v>
      </c>
      <c r="H43" s="287" t="str">
        <f>Gagnant(H38:M39)</f>
        <v>Franconville</v>
      </c>
      <c r="I43" s="287"/>
      <c r="J43" s="287"/>
      <c r="K43" s="287"/>
      <c r="L43" s="287"/>
      <c r="M43" s="150">
        <f>IF('Terrain 1'!$H72="","",'Terrain 1'!$H72)</f>
        <v>0</v>
      </c>
      <c r="N43" s="72"/>
      <c r="O43" s="148" t="s">
        <v>111</v>
      </c>
      <c r="P43" s="287" t="str">
        <f>Perdant(Y38:AD39)</f>
        <v>Fontenay</v>
      </c>
      <c r="Q43" s="287"/>
      <c r="R43" s="287"/>
      <c r="S43" s="287"/>
      <c r="T43" s="287"/>
      <c r="U43" s="150">
        <f>IF('Terrain 2'!$H75="","",'Terrain 2'!$H75)</f>
        <v>3</v>
      </c>
      <c r="V43" s="75"/>
      <c r="W43" s="74"/>
      <c r="X43" s="148" t="s">
        <v>113</v>
      </c>
      <c r="Y43" s="287" t="str">
        <f>Gagnant(Y38:AD39)</f>
        <v>Rennes</v>
      </c>
      <c r="Z43" s="287"/>
      <c r="AA43" s="287"/>
      <c r="AB43" s="287"/>
      <c r="AC43" s="287"/>
      <c r="AD43" s="150">
        <f>IF('Terrain 1'!$H76="","",'Terrain 1'!$H76)</f>
        <v>1</v>
      </c>
      <c r="AH43" s="70"/>
      <c r="AI43" s="70"/>
    </row>
    <row r="44" spans="3:30" ht="21.75" thickBot="1">
      <c r="C44" s="286" t="s">
        <v>170</v>
      </c>
      <c r="D44" s="286"/>
      <c r="E44" s="286"/>
      <c r="I44" s="291" t="s">
        <v>171</v>
      </c>
      <c r="J44" s="291"/>
      <c r="K44" s="291"/>
      <c r="L44" s="291"/>
      <c r="M44" s="291"/>
      <c r="S44" s="289" t="s">
        <v>85</v>
      </c>
      <c r="T44" s="289"/>
      <c r="U44" s="289"/>
      <c r="AB44" s="291" t="s">
        <v>83</v>
      </c>
      <c r="AC44" s="291"/>
      <c r="AD44" s="291"/>
    </row>
  </sheetData>
  <sheetProtection password="9485" sheet="1"/>
  <mergeCells count="54">
    <mergeCell ref="P34:T34"/>
    <mergeCell ref="Y34:AC34"/>
    <mergeCell ref="H30:L30"/>
    <mergeCell ref="H34:L34"/>
    <mergeCell ref="B32:AD32"/>
    <mergeCell ref="Y42:AC42"/>
    <mergeCell ref="Y38:AC38"/>
    <mergeCell ref="H39:L39"/>
    <mergeCell ref="P39:T39"/>
    <mergeCell ref="A30:B30"/>
    <mergeCell ref="Y43:AC43"/>
    <mergeCell ref="AB44:AD44"/>
    <mergeCell ref="I44:M44"/>
    <mergeCell ref="Y35:AC35"/>
    <mergeCell ref="H42:L42"/>
    <mergeCell ref="P42:T42"/>
    <mergeCell ref="Y39:AC39"/>
    <mergeCell ref="C44:E44"/>
    <mergeCell ref="H43:L43"/>
    <mergeCell ref="P43:T43"/>
    <mergeCell ref="H35:L35"/>
    <mergeCell ref="P35:T35"/>
    <mergeCell ref="S44:U44"/>
    <mergeCell ref="H38:L38"/>
    <mergeCell ref="P38:T38"/>
    <mergeCell ref="A29:B29"/>
    <mergeCell ref="C2:H2"/>
    <mergeCell ref="J2:K2"/>
    <mergeCell ref="F21:G21"/>
    <mergeCell ref="D22:E22"/>
    <mergeCell ref="D23:E23"/>
    <mergeCell ref="B4:D4"/>
    <mergeCell ref="D18:E18"/>
    <mergeCell ref="D21:E21"/>
    <mergeCell ref="F22:G22"/>
    <mergeCell ref="F29:G29"/>
    <mergeCell ref="F30:G30"/>
    <mergeCell ref="F18:G18"/>
    <mergeCell ref="F19:G19"/>
    <mergeCell ref="F20:G20"/>
    <mergeCell ref="D20:E20"/>
    <mergeCell ref="D19:E19"/>
    <mergeCell ref="B27:M27"/>
    <mergeCell ref="D24:E24"/>
    <mergeCell ref="H29:L29"/>
    <mergeCell ref="F25:G25"/>
    <mergeCell ref="D25:E25"/>
    <mergeCell ref="F24:G24"/>
    <mergeCell ref="M2:V2"/>
    <mergeCell ref="C3:H3"/>
    <mergeCell ref="M3:V3"/>
    <mergeCell ref="D17:E17"/>
    <mergeCell ref="F17:G17"/>
    <mergeCell ref="F23:G23"/>
  </mergeCells>
  <conditionalFormatting sqref="AF7:AF15 N6 H17:H25">
    <cfRule type="cellIs" priority="2" dxfId="0" operator="equal" stopIfTrue="1">
      <formula>0</formula>
    </cfRule>
  </conditionalFormatting>
  <conditionalFormatting sqref="P6:S6">
    <cfRule type="cellIs" priority="3" dxfId="7" operator="equal" stopIfTrue="1">
      <formula>0</formula>
    </cfRule>
  </conditionalFormatting>
  <conditionalFormatting sqref="H18:H25">
    <cfRule type="cellIs" priority="1" dxfId="2" operator="equal" stopIfTrue="1">
      <formula>0</formula>
    </cfRule>
  </conditionalFormatting>
  <printOptions/>
  <pageMargins left="0.35433070866141736" right="0.2755905511811024" top="0.5118110236220472" bottom="0.8661417322834646" header="0.2755905511811024" footer="0.5118110236220472"/>
  <pageSetup fitToHeight="1" fitToWidth="1" horizontalDpi="600" verticalDpi="600" orientation="landscape" paperSize="9" scale="61" r:id="rId2"/>
  <headerFooter alignWithMargins="0">
    <oddHeader xml:space="preserve">&amp;R&amp;"Arial,Gras"&amp;14   </oddHeader>
    <oddFooter>&amp;C&amp;"Arial,Gras"&amp;14&amp;A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AI40"/>
  <sheetViews>
    <sheetView zoomScale="80" zoomScaleNormal="80" zoomScalePageLayoutView="0" workbookViewId="0" topLeftCell="A13">
      <selection activeCell="N39" sqref="N39"/>
    </sheetView>
  </sheetViews>
  <sheetFormatPr defaultColWidth="11.421875" defaultRowHeight="12.75"/>
  <cols>
    <col min="1" max="1" width="4.421875" style="29" customWidth="1"/>
    <col min="2" max="2" width="6.00390625" style="29" customWidth="1"/>
    <col min="3" max="3" width="23.57421875" style="29" customWidth="1"/>
    <col min="4" max="5" width="5.28125" style="29" customWidth="1"/>
    <col min="6" max="7" width="5.28125" style="32" customWidth="1"/>
    <col min="8" max="31" width="5.28125" style="29" customWidth="1"/>
    <col min="32" max="32" width="5.00390625" style="29" customWidth="1"/>
    <col min="33" max="33" width="5.7109375" style="29" customWidth="1"/>
    <col min="34" max="35" width="9.8515625" style="29" customWidth="1"/>
    <col min="36" max="16384" width="11.421875" style="29" customWidth="1"/>
  </cols>
  <sheetData>
    <row r="1" spans="6:7" s="20" customFormat="1" ht="90.75" customHeight="1">
      <c r="F1" s="21"/>
      <c r="G1" s="21"/>
    </row>
    <row r="2" spans="1:22" s="20" customFormat="1" ht="25.5" customHeight="1">
      <c r="A2" s="22" t="s">
        <v>51</v>
      </c>
      <c r="B2" s="22"/>
      <c r="C2" s="271" t="str">
        <f>saison</f>
        <v>2021-2022</v>
      </c>
      <c r="D2" s="272"/>
      <c r="E2" s="272"/>
      <c r="F2" s="272"/>
      <c r="G2" s="272"/>
      <c r="H2" s="273"/>
      <c r="I2" s="23"/>
      <c r="J2" s="284" t="s">
        <v>52</v>
      </c>
      <c r="K2" s="284"/>
      <c r="L2" s="24"/>
      <c r="M2" s="270" t="str">
        <f>lieu</f>
        <v>Laval</v>
      </c>
      <c r="N2" s="270"/>
      <c r="O2" s="270"/>
      <c r="P2" s="270"/>
      <c r="Q2" s="270"/>
      <c r="R2" s="270"/>
      <c r="S2" s="270"/>
      <c r="T2" s="270"/>
      <c r="U2" s="270"/>
      <c r="V2" s="270"/>
    </row>
    <row r="3" spans="1:22" s="20" customFormat="1" ht="21" customHeight="1">
      <c r="A3" s="22" t="s">
        <v>53</v>
      </c>
      <c r="C3" s="271" t="str">
        <f>date</f>
        <v>4-5 et 6 Juin 2022</v>
      </c>
      <c r="D3" s="272"/>
      <c r="E3" s="272"/>
      <c r="F3" s="272"/>
      <c r="G3" s="272"/>
      <c r="H3" s="273"/>
      <c r="I3" s="23"/>
      <c r="J3" s="22" t="s">
        <v>54</v>
      </c>
      <c r="K3" s="25"/>
      <c r="L3" s="24"/>
      <c r="M3" s="271" t="str">
        <f>catégorie</f>
        <v>Division 1 Manche 3</v>
      </c>
      <c r="N3" s="272"/>
      <c r="O3" s="272"/>
      <c r="P3" s="272"/>
      <c r="Q3" s="272"/>
      <c r="R3" s="272"/>
      <c r="S3" s="272"/>
      <c r="T3" s="272"/>
      <c r="U3" s="272"/>
      <c r="V3" s="273"/>
    </row>
    <row r="4" spans="2:16" s="20" customFormat="1" ht="18" customHeight="1">
      <c r="B4" s="285" t="s">
        <v>55</v>
      </c>
      <c r="C4" s="285"/>
      <c r="D4" s="285"/>
      <c r="E4" s="26" t="str">
        <f>duréematch</f>
        <v>2*11' +2' de mi-temps +1' temps mort par  équipe +3' inter-match = 29'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s="20" customFormat="1" ht="9.75" customHeight="1">
      <c r="B5" s="27"/>
      <c r="C5" s="27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2:15" ht="15.75">
      <c r="B6" s="30"/>
      <c r="D6" s="30"/>
      <c r="E6" s="31"/>
      <c r="H6" s="30"/>
      <c r="I6" s="30"/>
      <c r="J6" s="30"/>
      <c r="K6" s="30"/>
      <c r="L6" s="30"/>
      <c r="M6" s="30"/>
      <c r="N6" s="30"/>
      <c r="O6" s="30"/>
    </row>
    <row r="7" spans="2:35" s="20" customFormat="1" ht="30" customHeight="1" thickBot="1">
      <c r="B7" s="33"/>
      <c r="C7" s="22"/>
      <c r="D7" s="34">
        <v>105</v>
      </c>
      <c r="E7" s="34">
        <v>106</v>
      </c>
      <c r="F7" s="34">
        <v>205</v>
      </c>
      <c r="G7" s="34">
        <v>206</v>
      </c>
      <c r="H7" s="34">
        <v>112</v>
      </c>
      <c r="I7" s="34">
        <v>211</v>
      </c>
      <c r="J7" s="34">
        <v>111</v>
      </c>
      <c r="K7" s="34">
        <v>212</v>
      </c>
      <c r="L7" s="34">
        <v>117</v>
      </c>
      <c r="M7" s="34">
        <v>118</v>
      </c>
      <c r="N7" s="34">
        <v>119</v>
      </c>
      <c r="O7" s="34">
        <v>120</v>
      </c>
      <c r="P7" s="34">
        <v>121</v>
      </c>
      <c r="Q7" s="34">
        <v>122</v>
      </c>
      <c r="R7" s="34">
        <v>217</v>
      </c>
      <c r="S7" s="34">
        <v>222</v>
      </c>
      <c r="T7" s="34">
        <v>127</v>
      </c>
      <c r="U7" s="34">
        <v>128</v>
      </c>
      <c r="V7" s="34">
        <v>227</v>
      </c>
      <c r="W7" s="34">
        <v>228</v>
      </c>
      <c r="X7" s="34">
        <v>133</v>
      </c>
      <c r="Y7" s="34">
        <v>134</v>
      </c>
      <c r="Z7" s="34">
        <v>233</v>
      </c>
      <c r="AA7" s="34">
        <v>234</v>
      </c>
      <c r="AB7" s="34">
        <v>139</v>
      </c>
      <c r="AC7" s="34">
        <v>140</v>
      </c>
      <c r="AD7" s="34">
        <v>239</v>
      </c>
      <c r="AE7" s="34">
        <v>240</v>
      </c>
      <c r="AF7" s="35" t="s">
        <v>270</v>
      </c>
      <c r="AG7" s="35" t="s">
        <v>56</v>
      </c>
      <c r="AH7" s="119" t="s">
        <v>139</v>
      </c>
      <c r="AI7" s="119" t="s">
        <v>140</v>
      </c>
    </row>
    <row r="8" spans="2:35" ht="15.75">
      <c r="B8" s="36" t="s">
        <v>9</v>
      </c>
      <c r="C8" s="122" t="str">
        <f>EQ2A</f>
        <v>PESSAC</v>
      </c>
      <c r="D8" s="112">
        <f>IF('Terrain 1'!G13&lt;&gt;"",'Terrain 1'!G13,"")</f>
        <v>2</v>
      </c>
      <c r="E8" s="123"/>
      <c r="F8" s="123"/>
      <c r="G8" s="123"/>
      <c r="H8" s="123"/>
      <c r="I8" s="123"/>
      <c r="J8" s="112">
        <f>IF('Terrain 1'!G20&lt;&gt;"",'Terrain 1'!G20,"")</f>
        <v>1</v>
      </c>
      <c r="K8" s="123"/>
      <c r="L8" s="112">
        <f>IF('Terrain 1'!H26&lt;&gt;"",'Terrain 1'!H26,"")</f>
        <v>2</v>
      </c>
      <c r="M8" s="123"/>
      <c r="N8" s="123"/>
      <c r="O8" s="123"/>
      <c r="P8" s="112">
        <f>IF('Terrain 1'!G30&lt;&gt;"",'Terrain 1'!G30,"")</f>
        <v>2</v>
      </c>
      <c r="Q8" s="123"/>
      <c r="R8" s="123"/>
      <c r="S8" s="123"/>
      <c r="T8" s="112">
        <f>IF('Terrain 1'!H38&lt;&gt;"",'Terrain 1'!H38,"")</f>
        <v>5</v>
      </c>
      <c r="U8" s="123"/>
      <c r="V8" s="123"/>
      <c r="W8" s="123"/>
      <c r="X8" s="123"/>
      <c r="Y8" s="112">
        <f>IF('Terrain 1'!H46&lt;&gt;"",'Terrain 1'!H46,"")</f>
        <v>6</v>
      </c>
      <c r="Z8" s="123"/>
      <c r="AA8" s="123"/>
      <c r="AB8" s="112">
        <f>IF('Terrain 1'!G51&lt;&gt;"",'Terrain 1'!G51,"")</f>
        <v>7</v>
      </c>
      <c r="AC8" s="123"/>
      <c r="AD8" s="123"/>
      <c r="AE8" s="123"/>
      <c r="AF8" s="134">
        <f>CalculPointMatchs(D8,D9,J8,J10,L8,L11,P8,P12,T8,T13,Y8,Y14,AB8,AB15)</f>
        <v>27.996025</v>
      </c>
      <c r="AG8" s="124">
        <f aca="true" t="shared" si="0" ref="AG8:AG15">IF(AE$10="","",RANK(AF8,$AF$8:$AF$15))</f>
        <v>1</v>
      </c>
      <c r="AH8" s="124">
        <f>SUM(D9,J10,L11,P12,T13,Y14,AB15)</f>
        <v>4</v>
      </c>
      <c r="AI8" s="125">
        <f aca="true" t="shared" si="1" ref="AI8:AI15">SUM(D8:AE8)</f>
        <v>25</v>
      </c>
    </row>
    <row r="9" spans="2:35" ht="15.75">
      <c r="B9" s="126" t="s">
        <v>10</v>
      </c>
      <c r="C9" s="109" t="str">
        <f>EQ2B</f>
        <v>Saintes</v>
      </c>
      <c r="D9" s="110">
        <f>IF('Terrain 1'!H13&lt;&gt;"",'Terrain 1'!H13,"")</f>
        <v>0</v>
      </c>
      <c r="E9" s="120"/>
      <c r="F9" s="120"/>
      <c r="G9" s="120"/>
      <c r="H9" s="110">
        <f>IF('Terrain 1'!G21&lt;&gt;"",'Terrain 1'!G21,"")</f>
        <v>3</v>
      </c>
      <c r="I9" s="120"/>
      <c r="J9" s="120"/>
      <c r="K9" s="120"/>
      <c r="L9" s="120"/>
      <c r="M9" s="110">
        <f>IF('Terrain 1'!G27&lt;&gt;"",'Terrain 1'!G27,"")</f>
        <v>3</v>
      </c>
      <c r="N9" s="120"/>
      <c r="O9" s="120"/>
      <c r="P9" s="120"/>
      <c r="Q9" s="110">
        <f>IF('Terrain 1'!G31&lt;&gt;"",'Terrain 1'!G31,"")</f>
        <v>3</v>
      </c>
      <c r="R9" s="120"/>
      <c r="S9" s="120"/>
      <c r="T9" s="120"/>
      <c r="U9" s="110">
        <f>IF('Terrain 1'!H39&lt;&gt;"",'Terrain 1'!H39,"")</f>
        <v>1</v>
      </c>
      <c r="V9" s="120"/>
      <c r="W9" s="120"/>
      <c r="X9" s="120"/>
      <c r="Y9" s="120"/>
      <c r="Z9" s="110">
        <f>IF('Terrain 2'!G44&lt;&gt;"",'Terrain 2'!G44,"")</f>
        <v>2</v>
      </c>
      <c r="AA9" s="120"/>
      <c r="AB9" s="120"/>
      <c r="AC9" s="110">
        <f>IF('Terrain 1'!H52&lt;&gt;"",'Terrain 1'!H52,"")</f>
        <v>6</v>
      </c>
      <c r="AD9" s="120"/>
      <c r="AE9" s="120"/>
      <c r="AF9" s="135">
        <f>CalculPointMatchs(D9,D8,H9,H11,M9,M12,Q9,Q13,U9,U10,Z9,Z15,AC9,AC14)</f>
        <v>21.987018</v>
      </c>
      <c r="AG9" s="62">
        <f t="shared" si="0"/>
        <v>3</v>
      </c>
      <c r="AH9" s="62">
        <f>SUM(D8,H11,M12,Q13,U10,Z15,AC14)</f>
        <v>13</v>
      </c>
      <c r="AI9" s="127">
        <f t="shared" si="1"/>
        <v>18</v>
      </c>
    </row>
    <row r="10" spans="2:35" ht="15.75">
      <c r="B10" s="126" t="s">
        <v>17</v>
      </c>
      <c r="C10" s="109" t="str">
        <f>EQ2C</f>
        <v>Clamart</v>
      </c>
      <c r="D10" s="121"/>
      <c r="E10" s="110">
        <f>IF('Terrain 1'!G14&lt;&gt;"",'Terrain 1'!G14,"")</f>
        <v>6</v>
      </c>
      <c r="F10" s="120"/>
      <c r="G10" s="120"/>
      <c r="H10" s="120"/>
      <c r="I10" s="120"/>
      <c r="J10" s="110">
        <f>IF('Terrain 1'!H20&lt;&gt;"",'Terrain 1'!H20,"")</f>
        <v>0</v>
      </c>
      <c r="K10" s="120"/>
      <c r="L10" s="120"/>
      <c r="M10" s="120"/>
      <c r="N10" s="120"/>
      <c r="O10" s="110">
        <f>IF('Terrain 1'!G29&lt;&gt;"",'Terrain 1'!G29,"")</f>
        <v>4</v>
      </c>
      <c r="P10" s="120"/>
      <c r="Q10" s="120"/>
      <c r="R10" s="110">
        <f>IF('Terrain 2'!H26&lt;&gt;"",'Terrain 2'!H26,"")</f>
        <v>8</v>
      </c>
      <c r="S10" s="120"/>
      <c r="T10" s="120"/>
      <c r="U10" s="110">
        <f>IF('Terrain 1'!G39&lt;&gt;"",'Terrain 1'!G39,"")</f>
        <v>4</v>
      </c>
      <c r="V10" s="120"/>
      <c r="W10" s="120"/>
      <c r="X10" s="110">
        <f>IF('Terrain 1'!G44&lt;&gt;"",'Terrain 1'!G44,"")</f>
        <v>5</v>
      </c>
      <c r="Y10" s="120"/>
      <c r="Z10" s="120"/>
      <c r="AA10" s="120"/>
      <c r="AB10" s="120"/>
      <c r="AC10" s="120"/>
      <c r="AD10" s="120"/>
      <c r="AE10" s="110">
        <f>IF('Terrain 2'!G52&lt;&gt;"",'Terrain 2'!G52,"")</f>
        <v>5</v>
      </c>
      <c r="AF10" s="135">
        <f>CalculPointMatchs(E10,E11,J10,J8,O10,O15,R10,R14,U10,U9,X10,X13,AE10,AE12)</f>
        <v>24.995032</v>
      </c>
      <c r="AG10" s="62">
        <f>IF(AE$10="","",RANK(AF10,$AF$8:$AF$15))</f>
        <v>2</v>
      </c>
      <c r="AH10" s="62">
        <f>SUM(E11,J8,O15,R14,U9,X13,AE12)</f>
        <v>5</v>
      </c>
      <c r="AI10" s="127">
        <f t="shared" si="1"/>
        <v>32</v>
      </c>
    </row>
    <row r="11" spans="2:35" ht="15.75">
      <c r="B11" s="126" t="s">
        <v>18</v>
      </c>
      <c r="C11" s="109" t="str">
        <f>EQ2D</f>
        <v>Nantes</v>
      </c>
      <c r="D11" s="121"/>
      <c r="E11" s="110">
        <f>IF('Terrain 1'!H14&lt;&gt;"",'Terrain 1'!H14,"")</f>
        <v>2</v>
      </c>
      <c r="F11" s="120"/>
      <c r="G11" s="120"/>
      <c r="H11" s="110">
        <f>IF('Terrain 1'!H21&lt;&gt;"",'Terrain 1'!H21,"")</f>
        <v>2</v>
      </c>
      <c r="I11" s="120"/>
      <c r="J11" s="120"/>
      <c r="K11" s="120"/>
      <c r="L11" s="110">
        <f>IF('Terrain 1'!G26&lt;&gt;"",'Terrain 1'!G26,"")</f>
        <v>1</v>
      </c>
      <c r="M11" s="120"/>
      <c r="N11" s="120"/>
      <c r="O11" s="120"/>
      <c r="P11" s="120"/>
      <c r="Q11" s="120"/>
      <c r="R11" s="120"/>
      <c r="S11" s="110">
        <f>IF('Terrain 2'!H31&lt;&gt;"",'Terrain 2'!H31,"")</f>
        <v>3</v>
      </c>
      <c r="T11" s="120"/>
      <c r="U11" s="120"/>
      <c r="V11" s="110">
        <f>IF('Terrain 2'!G38&lt;&gt;"",'Terrain 2'!G38,"")</f>
        <v>3</v>
      </c>
      <c r="W11" s="120"/>
      <c r="X11" s="120"/>
      <c r="Y11" s="120"/>
      <c r="Z11" s="120"/>
      <c r="AA11" s="110">
        <f>IF('Terrain 2'!H46&lt;&gt;"",'Terrain 2'!H46,"")</f>
        <v>0</v>
      </c>
      <c r="AB11" s="120"/>
      <c r="AC11" s="120"/>
      <c r="AD11" s="110">
        <f>IF('Terrain 2'!G51&lt;&gt;"",'Terrain 2'!G51,"")</f>
        <v>2</v>
      </c>
      <c r="AE11" s="120"/>
      <c r="AF11" s="135">
        <f>CalculPointMatchs(E11,E10,H11,H9,L11,L8,S11,S15,V11,V14,AA11,AA12,AD11,AD13)</f>
        <v>12.984013</v>
      </c>
      <c r="AG11" s="62">
        <f t="shared" si="0"/>
        <v>5</v>
      </c>
      <c r="AH11" s="62">
        <f>SUM(E10,H9,L8,S15,V14,AA12,AD13)</f>
        <v>16</v>
      </c>
      <c r="AI11" s="127">
        <f t="shared" si="1"/>
        <v>13</v>
      </c>
    </row>
    <row r="12" spans="2:35" ht="15.75">
      <c r="B12" s="126" t="s">
        <v>19</v>
      </c>
      <c r="C12" s="109" t="str">
        <f>EQ2E</f>
        <v>Le Puy en Velay</v>
      </c>
      <c r="D12" s="121"/>
      <c r="E12" s="120"/>
      <c r="F12" s="110">
        <f>IF('Terrain 2'!G13&lt;&gt;"",'Terrain 2'!G13,"")</f>
        <v>2</v>
      </c>
      <c r="G12" s="120"/>
      <c r="H12" s="120"/>
      <c r="I12" s="110">
        <f>IF('Terrain 2'!G20&lt;&gt;"",'Terrain 2'!G20,"")</f>
        <v>2</v>
      </c>
      <c r="J12" s="120"/>
      <c r="K12" s="120"/>
      <c r="L12" s="120"/>
      <c r="M12" s="110">
        <f>IF('Terrain 1'!H27&lt;&gt;"",'Terrain 1'!H27,"")</f>
        <v>2</v>
      </c>
      <c r="N12" s="120"/>
      <c r="O12" s="120"/>
      <c r="P12" s="110">
        <f>IF('Terrain 1'!H30&lt;&gt;"",'Terrain 1'!H30,"")</f>
        <v>1</v>
      </c>
      <c r="Q12" s="120"/>
      <c r="R12" s="120"/>
      <c r="S12" s="120"/>
      <c r="T12" s="120"/>
      <c r="U12" s="120"/>
      <c r="V12" s="120"/>
      <c r="W12" s="110">
        <f>IF('Terrain 2'!H39&lt;&gt;"",'Terrain 2'!H39,"")</f>
        <v>2</v>
      </c>
      <c r="X12" s="120"/>
      <c r="Y12" s="120"/>
      <c r="Z12" s="120"/>
      <c r="AA12" s="110">
        <f>IF('Terrain 2'!G46&lt;&gt;"",'Terrain 2'!G46,"")</f>
        <v>1</v>
      </c>
      <c r="AB12" s="120"/>
      <c r="AC12" s="120"/>
      <c r="AD12" s="120"/>
      <c r="AE12" s="110">
        <f>IF('Terrain 2'!H52&lt;&gt;"",'Terrain 2'!H52,"")</f>
        <v>1</v>
      </c>
      <c r="AF12" s="135">
        <f>CalculPointMatchs(F12,F13,I12,I14,M12,M9,P12,P8,W12,W15,AA12,AA11,AE12,AE10)</f>
        <v>15.985011</v>
      </c>
      <c r="AG12" s="62">
        <f t="shared" si="0"/>
        <v>4</v>
      </c>
      <c r="AH12" s="62">
        <f>SUM(F13,I14,M9,P8,W15,AA11,AE10)</f>
        <v>15</v>
      </c>
      <c r="AI12" s="127">
        <f t="shared" si="1"/>
        <v>11</v>
      </c>
    </row>
    <row r="13" spans="2:35" ht="15.75">
      <c r="B13" s="126" t="s">
        <v>58</v>
      </c>
      <c r="C13" s="109" t="str">
        <f>EQ2F</f>
        <v>HOPE</v>
      </c>
      <c r="D13" s="121"/>
      <c r="E13" s="120"/>
      <c r="F13" s="110">
        <f>IF('Terrain 2'!H13&lt;&gt;"",'Terrain 2'!H13,"")</f>
        <v>1</v>
      </c>
      <c r="G13" s="120"/>
      <c r="H13" s="120"/>
      <c r="I13" s="120"/>
      <c r="J13" s="120"/>
      <c r="K13" s="110">
        <f>IF('Terrain 2'!G21&lt;&gt;"",'Terrain 2'!G21,"")</f>
        <v>1</v>
      </c>
      <c r="L13" s="120"/>
      <c r="M13" s="120"/>
      <c r="N13" s="110">
        <f>IF('Terrain 1'!G28&lt;&gt;"",'Terrain 1'!G28,"")</f>
        <v>1</v>
      </c>
      <c r="O13" s="120"/>
      <c r="P13" s="120"/>
      <c r="Q13" s="110">
        <f>IF('Terrain 1'!H31&lt;&gt;"",'Terrain 1'!H31,"")</f>
        <v>1</v>
      </c>
      <c r="R13" s="120"/>
      <c r="S13" s="120"/>
      <c r="T13" s="110">
        <f>IF('Terrain 1'!G38&lt;&gt;"",'Terrain 1'!G38,"")</f>
        <v>1</v>
      </c>
      <c r="U13" s="120"/>
      <c r="V13" s="120"/>
      <c r="W13" s="120"/>
      <c r="X13" s="110">
        <f>IF('Terrain 1'!H44&lt;&gt;"",'Terrain 1'!H44,"")</f>
        <v>0</v>
      </c>
      <c r="Y13" s="120"/>
      <c r="Z13" s="120"/>
      <c r="AA13" s="120"/>
      <c r="AB13" s="120"/>
      <c r="AC13" s="120"/>
      <c r="AD13" s="110">
        <f>IF('Terrain 2'!H51&lt;&gt;"",'Terrain 2'!H51,"")</f>
        <v>4</v>
      </c>
      <c r="AE13" s="120"/>
      <c r="AF13" s="135">
        <f>CalculPointMatchs(F13,F12,K13,K15,N13,N14,Q13,Q9,T13,T8,X13,X10,AD13,AD11)</f>
        <v>10.980009</v>
      </c>
      <c r="AG13" s="62">
        <f t="shared" si="0"/>
        <v>7</v>
      </c>
      <c r="AH13" s="62">
        <f>SUM(F12,K15,N14,Q9,T8,X10,AD11)</f>
        <v>20</v>
      </c>
      <c r="AI13" s="127">
        <f t="shared" si="1"/>
        <v>9</v>
      </c>
    </row>
    <row r="14" spans="2:35" ht="15.75">
      <c r="B14" s="126" t="s">
        <v>21</v>
      </c>
      <c r="C14" s="109" t="str">
        <f>EQ2G</f>
        <v>Clermont Ferrand</v>
      </c>
      <c r="D14" s="121"/>
      <c r="E14" s="120"/>
      <c r="F14" s="120"/>
      <c r="G14" s="110">
        <f>IF('Terrain 2'!G14&lt;&gt;"",'Terrain 2'!G14,"")</f>
        <v>1</v>
      </c>
      <c r="H14" s="120"/>
      <c r="I14" s="110">
        <f>IF('Terrain 2'!H20&lt;&gt;"",'Terrain 2'!H20,"")</f>
        <v>1</v>
      </c>
      <c r="J14" s="120"/>
      <c r="K14" s="120"/>
      <c r="L14" s="120"/>
      <c r="M14" s="120"/>
      <c r="N14" s="110">
        <f>IF('Terrain 1'!H28&lt;&gt;"",'Terrain 1'!H28,"")</f>
        <v>1</v>
      </c>
      <c r="O14" s="120"/>
      <c r="P14" s="120"/>
      <c r="Q14" s="120"/>
      <c r="R14" s="110">
        <f>IF('Terrain 2'!G26&lt;&gt;"",'Terrain 2'!G26,"")</f>
        <v>0</v>
      </c>
      <c r="S14" s="120"/>
      <c r="T14" s="120"/>
      <c r="U14" s="120"/>
      <c r="V14" s="110">
        <f>IF('Terrain 2'!H38&lt;&gt;"",'Terrain 2'!H38,"")</f>
        <v>0</v>
      </c>
      <c r="W14" s="120"/>
      <c r="X14" s="120"/>
      <c r="Y14" s="110">
        <f>IF('Terrain 1'!G46&lt;&gt;"",'Terrain 1'!G46,"")</f>
        <v>1</v>
      </c>
      <c r="Z14" s="120"/>
      <c r="AA14" s="120"/>
      <c r="AB14" s="120"/>
      <c r="AC14" s="110">
        <f>IF('Terrain 1'!G52&lt;&gt;"",'Terrain 1'!G52,"")</f>
        <v>1</v>
      </c>
      <c r="AD14" s="120"/>
      <c r="AE14" s="120"/>
      <c r="AF14" s="135">
        <f>CalculPointMatchs(G14,G15,I14,I12,N14,N13,R14,R10,V14,V11,Y14,Y8,AC14,AC9)</f>
        <v>10.974005</v>
      </c>
      <c r="AG14" s="62">
        <f t="shared" si="0"/>
        <v>8</v>
      </c>
      <c r="AH14" s="62">
        <f>SUM(G15,I12,N13,R10,V11,Y8,AC9)</f>
        <v>26</v>
      </c>
      <c r="AI14" s="127">
        <f t="shared" si="1"/>
        <v>5</v>
      </c>
    </row>
    <row r="15" spans="2:35" ht="16.5" thickBot="1">
      <c r="B15" s="128" t="s">
        <v>20</v>
      </c>
      <c r="C15" s="129" t="str">
        <f>EQ2H</f>
        <v>Morlaix</v>
      </c>
      <c r="D15" s="130"/>
      <c r="E15" s="131"/>
      <c r="F15" s="131"/>
      <c r="G15" s="117">
        <f>IF('Terrain 2'!H14&lt;&gt;"",'Terrain 2'!H14,"")</f>
        <v>0</v>
      </c>
      <c r="H15" s="131"/>
      <c r="I15" s="131"/>
      <c r="J15" s="131"/>
      <c r="K15" s="117">
        <f>IF('Terrain 2'!H21&lt;&gt;"",'Terrain 2'!H21,"")</f>
        <v>2</v>
      </c>
      <c r="L15" s="131"/>
      <c r="M15" s="131"/>
      <c r="N15" s="131"/>
      <c r="O15" s="117">
        <f>IF('Terrain 1'!H29&lt;&gt;"",'Terrain 1'!H29,"")</f>
        <v>0</v>
      </c>
      <c r="P15" s="131"/>
      <c r="Q15" s="131"/>
      <c r="R15" s="131"/>
      <c r="S15" s="117">
        <f>IF('Terrain 2'!G31&lt;&gt;"",'Terrain 2'!G31,"")</f>
        <v>0</v>
      </c>
      <c r="T15" s="131"/>
      <c r="U15" s="131"/>
      <c r="V15" s="131"/>
      <c r="W15" s="117">
        <f>IF('Terrain 2'!G39&lt;&gt;"",'Terrain 2'!G39,"")</f>
        <v>3</v>
      </c>
      <c r="X15" s="131"/>
      <c r="Y15" s="131"/>
      <c r="Z15" s="117">
        <f>IF('Terrain 2'!H44&lt;&gt;"",'Terrain 2'!H44,"")</f>
        <v>1</v>
      </c>
      <c r="AA15" s="131"/>
      <c r="AB15" s="117">
        <f>IF('Terrain 1'!H51&lt;&gt;"",'Terrain 1'!H51,"")</f>
        <v>0</v>
      </c>
      <c r="AC15" s="131"/>
      <c r="AD15" s="131"/>
      <c r="AE15" s="131"/>
      <c r="AF15" s="136">
        <f>CalculPointMatchs(G15,G14,K15,K13,O15,O10,S15,S11,W15,W12,Z15,Z9,AB15,AB8)</f>
        <v>12.980006</v>
      </c>
      <c r="AG15" s="132">
        <f t="shared" si="0"/>
        <v>6</v>
      </c>
      <c r="AH15" s="132">
        <f>SUM(G14,K13,O10,S11,W12,Z9,AB8)</f>
        <v>20</v>
      </c>
      <c r="AI15" s="133">
        <f t="shared" si="1"/>
        <v>6</v>
      </c>
    </row>
    <row r="16" ht="15.75">
      <c r="E16" s="37"/>
    </row>
    <row r="17" spans="4:9" ht="15.75" thickBot="1">
      <c r="D17" s="274" t="s">
        <v>181</v>
      </c>
      <c r="E17" s="274"/>
      <c r="F17" s="274" t="s">
        <v>142</v>
      </c>
      <c r="G17" s="274"/>
      <c r="H17" s="33" t="s">
        <v>270</v>
      </c>
      <c r="I17" s="33" t="s">
        <v>56</v>
      </c>
    </row>
    <row r="18" spans="3:9" ht="15.75">
      <c r="C18" s="111" t="str">
        <f>EQ2A</f>
        <v>PESSAC</v>
      </c>
      <c r="D18" s="301">
        <v>8</v>
      </c>
      <c r="E18" s="301"/>
      <c r="F18" s="279">
        <f>_xlfn.IFERROR(9-1.01*INDEX(AG8:AG15,MATCH(C18,C8:C15,0)),"")</f>
        <v>7.99</v>
      </c>
      <c r="G18" s="279"/>
      <c r="H18" s="134">
        <f aca="true" t="shared" si="2" ref="H18:H25">IF(F18="","",SUM(D18:G18))</f>
        <v>15.99</v>
      </c>
      <c r="I18" s="113">
        <f aca="true" t="shared" si="3" ref="I18:I25">IF(F18="","",RANK(H18,$H$18:$H$25))</f>
        <v>1</v>
      </c>
    </row>
    <row r="19" spans="3:9" ht="15.75">
      <c r="C19" s="114" t="str">
        <f>EQ2B</f>
        <v>Saintes</v>
      </c>
      <c r="D19" s="300">
        <v>7</v>
      </c>
      <c r="E19" s="300"/>
      <c r="F19" s="269">
        <f>_xlfn.IFERROR(9-1.01*INDEX(AG8:AG15,MATCH(C19,C8:C15,0)),"")</f>
        <v>5.97</v>
      </c>
      <c r="G19" s="269"/>
      <c r="H19" s="135">
        <f t="shared" si="2"/>
        <v>12.969999999999999</v>
      </c>
      <c r="I19" s="115">
        <f t="shared" si="3"/>
        <v>3</v>
      </c>
    </row>
    <row r="20" spans="3:9" ht="15.75">
      <c r="C20" s="114" t="str">
        <f>EQ2C</f>
        <v>Clamart</v>
      </c>
      <c r="D20" s="300">
        <v>6</v>
      </c>
      <c r="E20" s="300"/>
      <c r="F20" s="269">
        <f>_xlfn.IFERROR(9-1.01*INDEX(AG8:AG15,MATCH(C20,C8:C15,0)),"")</f>
        <v>6.98</v>
      </c>
      <c r="G20" s="269"/>
      <c r="H20" s="135">
        <f t="shared" si="2"/>
        <v>12.98</v>
      </c>
      <c r="I20" s="115">
        <f t="shared" si="3"/>
        <v>2</v>
      </c>
    </row>
    <row r="21" spans="3:9" ht="15.75">
      <c r="C21" s="114" t="str">
        <f>EQ2D</f>
        <v>Nantes</v>
      </c>
      <c r="D21" s="300">
        <v>5</v>
      </c>
      <c r="E21" s="300"/>
      <c r="F21" s="269">
        <f>_xlfn.IFERROR(9-1.01*INDEX(AG8:AG15,MATCH(C21,C8:C15,0)),"")</f>
        <v>3.95</v>
      </c>
      <c r="G21" s="269"/>
      <c r="H21" s="135">
        <f t="shared" si="2"/>
        <v>8.95</v>
      </c>
      <c r="I21" s="115">
        <f t="shared" si="3"/>
        <v>5</v>
      </c>
    </row>
    <row r="22" spans="3:9" ht="15.75">
      <c r="C22" s="114" t="str">
        <f>EQ2E</f>
        <v>Le Puy en Velay</v>
      </c>
      <c r="D22" s="300">
        <v>4</v>
      </c>
      <c r="E22" s="300"/>
      <c r="F22" s="269">
        <f>_xlfn.IFERROR(9-1.01*INDEX(AG8:AG15,MATCH(C22,C8:C15,0)),"")</f>
        <v>4.96</v>
      </c>
      <c r="G22" s="269"/>
      <c r="H22" s="135">
        <f t="shared" si="2"/>
        <v>8.96</v>
      </c>
      <c r="I22" s="115">
        <f t="shared" si="3"/>
        <v>4</v>
      </c>
    </row>
    <row r="23" spans="3:9" ht="15.75">
      <c r="C23" s="114" t="str">
        <f>EQ2F</f>
        <v>HOPE</v>
      </c>
      <c r="D23" s="300">
        <v>3</v>
      </c>
      <c r="E23" s="300"/>
      <c r="F23" s="269">
        <f>_xlfn.IFERROR(9-1.01*INDEX(AG8:AG15,MATCH(C23,C8:C15,0)),"")</f>
        <v>1.9299999999999997</v>
      </c>
      <c r="G23" s="269"/>
      <c r="H23" s="135">
        <f t="shared" si="2"/>
        <v>4.93</v>
      </c>
      <c r="I23" s="115">
        <f t="shared" si="3"/>
        <v>6</v>
      </c>
    </row>
    <row r="24" spans="3:9" ht="15.75">
      <c r="C24" s="114" t="str">
        <f>EQ2G</f>
        <v>Clermont Ferrand</v>
      </c>
      <c r="D24" s="300">
        <v>2</v>
      </c>
      <c r="E24" s="300"/>
      <c r="F24" s="269">
        <f>_xlfn.IFERROR(9-1.01*INDEX(AG8:AG15,MATCH(C24,C8:C15,0)),"")</f>
        <v>0.9199999999999999</v>
      </c>
      <c r="G24" s="269"/>
      <c r="H24" s="135">
        <f t="shared" si="2"/>
        <v>2.92</v>
      </c>
      <c r="I24" s="115">
        <f t="shared" si="3"/>
        <v>8</v>
      </c>
    </row>
    <row r="25" spans="3:9" ht="16.5" thickBot="1">
      <c r="C25" s="116" t="str">
        <f>EQ2H</f>
        <v>Morlaix</v>
      </c>
      <c r="D25" s="298">
        <v>1</v>
      </c>
      <c r="E25" s="298"/>
      <c r="F25" s="268">
        <f>_xlfn.IFERROR(9-1.01*INDEX(AG8:AG15,MATCH(C25,C8:C15,0)),"")</f>
        <v>2.9399999999999995</v>
      </c>
      <c r="G25" s="268"/>
      <c r="H25" s="136">
        <f t="shared" si="2"/>
        <v>3.9399999999999995</v>
      </c>
      <c r="I25" s="118">
        <f t="shared" si="3"/>
        <v>7</v>
      </c>
    </row>
    <row r="26" spans="3:9" ht="15.75">
      <c r="C26" s="63"/>
      <c r="D26" s="64"/>
      <c r="E26" s="64"/>
      <c r="F26" s="64"/>
      <c r="G26" s="64"/>
      <c r="H26" s="67"/>
      <c r="I26" s="65"/>
    </row>
    <row r="27" spans="1:30" ht="18.75" thickBot="1">
      <c r="A27" s="68"/>
      <c r="B27" s="68"/>
      <c r="C27" s="68" t="s">
        <v>122</v>
      </c>
      <c r="D27" s="68"/>
      <c r="E27" s="69"/>
      <c r="F27" s="68"/>
      <c r="G27" s="68"/>
      <c r="H27" s="68" t="s">
        <v>123</v>
      </c>
      <c r="I27" s="68"/>
      <c r="J27" s="68"/>
      <c r="K27" s="68"/>
      <c r="L27" s="68"/>
      <c r="M27" s="68"/>
      <c r="N27" s="68"/>
      <c r="O27" s="68"/>
      <c r="P27" s="68" t="s">
        <v>124</v>
      </c>
      <c r="Q27" s="68"/>
      <c r="R27" s="68"/>
      <c r="S27" s="68"/>
      <c r="T27" s="68"/>
      <c r="U27" s="69"/>
      <c r="V27" s="70"/>
      <c r="W27" s="68"/>
      <c r="X27" s="68"/>
      <c r="Y27" s="68" t="s">
        <v>125</v>
      </c>
      <c r="Z27" s="68"/>
      <c r="AA27" s="68"/>
      <c r="AB27" s="68"/>
      <c r="AC27" s="68"/>
      <c r="AD27" s="68"/>
    </row>
    <row r="28" spans="1:31" ht="18">
      <c r="A28" s="68"/>
      <c r="B28" s="155" t="s">
        <v>201</v>
      </c>
      <c r="C28" s="156" t="str">
        <f>Perdant('Groupe A'!H29:M30)</f>
        <v>Le Chesnay</v>
      </c>
      <c r="D28" s="157">
        <f>IF('Terrain 2'!$G60="","",'Terrain 2'!G60)</f>
        <v>3</v>
      </c>
      <c r="E28" s="69"/>
      <c r="F28" s="71"/>
      <c r="G28" s="155" t="s">
        <v>204</v>
      </c>
      <c r="H28" s="297" t="str">
        <f>_xlfn.IFERROR(INDEX(C18:C25,MATCH(4,I18:I25,0)),"")</f>
        <v>Le Puy en Velay</v>
      </c>
      <c r="I28" s="297"/>
      <c r="J28" s="297"/>
      <c r="K28" s="297"/>
      <c r="L28" s="297"/>
      <c r="M28" s="157">
        <f>IF('Terrain 2'!$G61="","",'Terrain 2'!G61)</f>
        <v>2</v>
      </c>
      <c r="N28" s="68"/>
      <c r="O28" s="155" t="s">
        <v>203</v>
      </c>
      <c r="P28" s="297" t="str">
        <f>_xlfn.IFERROR(INDEX(C18:C25,MATCH(3,I18:I25,0)),"")</f>
        <v>Saintes</v>
      </c>
      <c r="Q28" s="297"/>
      <c r="R28" s="297"/>
      <c r="S28" s="297"/>
      <c r="T28" s="297"/>
      <c r="U28" s="157">
        <f>IF('Terrain 2'!$G62="","",'Terrain 2'!G62)</f>
        <v>6</v>
      </c>
      <c r="V28" s="71"/>
      <c r="W28" s="69"/>
      <c r="X28" s="155" t="s">
        <v>202</v>
      </c>
      <c r="Y28" s="297" t="str">
        <f>Perdant('Groupe A'!C29:D30)</f>
        <v>Clamart</v>
      </c>
      <c r="Z28" s="297"/>
      <c r="AA28" s="297"/>
      <c r="AB28" s="297"/>
      <c r="AC28" s="297"/>
      <c r="AD28" s="157">
        <f>IF('Terrain 2'!$G63="","",'Terrain 2'!G63)</f>
        <v>6</v>
      </c>
      <c r="AE28" s="38"/>
    </row>
    <row r="29" spans="1:31" ht="18.75" thickBot="1">
      <c r="A29" s="68"/>
      <c r="B29" s="158" t="s">
        <v>208</v>
      </c>
      <c r="C29" s="159" t="str">
        <f>_xlfn.IFERROR(INDEX(C18:C25,MATCH(8,I18:I25,0)),"")</f>
        <v>Clermont Ferrand</v>
      </c>
      <c r="D29" s="160">
        <f>IF('Terrain 2'!$H60="","",'Terrain 2'!$H60)</f>
        <v>0</v>
      </c>
      <c r="E29" s="69"/>
      <c r="F29" s="71"/>
      <c r="G29" s="158" t="s">
        <v>205</v>
      </c>
      <c r="H29" s="299" t="str">
        <f>_xlfn.IFERROR(INDEX(C18:C25,MATCH(5,I18:I25,0)),"")</f>
        <v>Nantes</v>
      </c>
      <c r="I29" s="299"/>
      <c r="J29" s="299"/>
      <c r="K29" s="299"/>
      <c r="L29" s="299"/>
      <c r="M29" s="160">
        <f>IF('Terrain 2'!$H61="","",'Terrain 2'!$H61)</f>
        <v>4</v>
      </c>
      <c r="N29" s="68"/>
      <c r="O29" s="158" t="s">
        <v>206</v>
      </c>
      <c r="P29" s="299" t="str">
        <f>_xlfn.IFERROR(INDEX(C18:C25,MATCH(6,I18:I25,0)),"")</f>
        <v>HOPE</v>
      </c>
      <c r="Q29" s="299"/>
      <c r="R29" s="299"/>
      <c r="S29" s="299"/>
      <c r="T29" s="299"/>
      <c r="U29" s="160">
        <f>IF('Terrain 2'!$H62="","",'Terrain 2'!$H62)</f>
        <v>1</v>
      </c>
      <c r="V29" s="71"/>
      <c r="W29" s="69"/>
      <c r="X29" s="158" t="s">
        <v>207</v>
      </c>
      <c r="Y29" s="299" t="str">
        <f>_xlfn.IFERROR(INDEX(C18:C25,MATCH(7,I18:I25,0)),"")</f>
        <v>Morlaix</v>
      </c>
      <c r="Z29" s="299"/>
      <c r="AA29" s="299"/>
      <c r="AB29" s="299"/>
      <c r="AC29" s="299"/>
      <c r="AD29" s="160">
        <f>IF('Terrain 2'!$H63="","",'Terrain 2'!$H63)</f>
        <v>0</v>
      </c>
      <c r="AE29" s="38"/>
    </row>
    <row r="30" spans="1:30" ht="18">
      <c r="A30" s="72"/>
      <c r="B30" s="42"/>
      <c r="C30" s="72"/>
      <c r="D30" s="72"/>
      <c r="E30" s="72"/>
      <c r="F30" s="74"/>
      <c r="G30" s="43"/>
      <c r="H30" s="72"/>
      <c r="I30" s="72"/>
      <c r="J30" s="72"/>
      <c r="K30" s="72"/>
      <c r="L30" s="72"/>
      <c r="M30" s="72"/>
      <c r="N30" s="75"/>
      <c r="O30" s="41"/>
      <c r="P30" s="72"/>
      <c r="Q30" s="72"/>
      <c r="R30" s="72"/>
      <c r="S30" s="72"/>
      <c r="T30" s="72"/>
      <c r="U30" s="72"/>
      <c r="V30" s="72"/>
      <c r="W30" s="72"/>
      <c r="X30" s="41"/>
      <c r="Y30" s="72"/>
      <c r="Z30" s="72"/>
      <c r="AA30" s="72"/>
      <c r="AB30" s="72"/>
      <c r="AC30" s="72"/>
      <c r="AD30" s="72"/>
    </row>
    <row r="31" spans="1:30" ht="18.75" thickBot="1">
      <c r="A31" s="72"/>
      <c r="B31" s="41"/>
      <c r="C31" s="72" t="s">
        <v>118</v>
      </c>
      <c r="D31" s="72"/>
      <c r="E31" s="74"/>
      <c r="F31" s="72"/>
      <c r="G31" s="41"/>
      <c r="H31" s="72" t="s">
        <v>63</v>
      </c>
      <c r="I31" s="72"/>
      <c r="J31" s="72"/>
      <c r="K31" s="72"/>
      <c r="L31" s="72"/>
      <c r="M31" s="72"/>
      <c r="N31" s="72"/>
      <c r="O31" s="41"/>
      <c r="P31" s="72" t="s">
        <v>119</v>
      </c>
      <c r="Q31" s="72"/>
      <c r="R31" s="72"/>
      <c r="S31" s="72"/>
      <c r="T31" s="72"/>
      <c r="U31" s="74"/>
      <c r="V31" s="73"/>
      <c r="W31" s="72"/>
      <c r="X31" s="41"/>
      <c r="Y31" s="72" t="s">
        <v>64</v>
      </c>
      <c r="Z31" s="72"/>
      <c r="AA31" s="72"/>
      <c r="AB31" s="72"/>
      <c r="AC31" s="72"/>
      <c r="AD31" s="72"/>
    </row>
    <row r="32" spans="1:30" s="38" customFormat="1" ht="18">
      <c r="A32" s="72"/>
      <c r="B32" s="161" t="s">
        <v>126</v>
      </c>
      <c r="C32" s="156" t="str">
        <f>Perdant(C28:D29)</f>
        <v>Clermont Ferrand</v>
      </c>
      <c r="D32" s="157">
        <f>IF('Terrain 1'!$H69="","",'Terrain 1'!H69)</f>
        <v>3</v>
      </c>
      <c r="E32" s="74"/>
      <c r="F32" s="75"/>
      <c r="G32" s="161" t="s">
        <v>128</v>
      </c>
      <c r="H32" s="297" t="str">
        <f>Perdant(P28:U29)</f>
        <v>HOPE</v>
      </c>
      <c r="I32" s="297">
        <f>IF(J28="","",IF(J28&lt;J29,I28,I29))</f>
      </c>
      <c r="J32" s="297">
        <f>IF(K28="","",IF(K28&lt;K29,J28,J29))</f>
      </c>
      <c r="K32" s="297">
        <f>IF(L28="","",IF(L28&lt;L29,K28,K29))</f>
      </c>
      <c r="L32" s="297">
        <f>IF(M28="","",IF(M28&lt;M29,L28,L29))</f>
        <v>0</v>
      </c>
      <c r="M32" s="157">
        <f>IF('Terrain 2'!$H69="","",'Terrain 2'!$H69)</f>
        <v>3</v>
      </c>
      <c r="N32" s="72"/>
      <c r="O32" s="161" t="s">
        <v>130</v>
      </c>
      <c r="P32" s="297" t="str">
        <f>Gagnant(C28:D29)</f>
        <v>Le Chesnay</v>
      </c>
      <c r="Q32" s="297"/>
      <c r="R32" s="297"/>
      <c r="S32" s="297"/>
      <c r="T32" s="297"/>
      <c r="U32" s="157">
        <f>IF('Terrain 1'!$H71="","",'Terrain 1'!H71)</f>
        <v>2</v>
      </c>
      <c r="V32" s="75"/>
      <c r="W32" s="74"/>
      <c r="X32" s="161" t="s">
        <v>132</v>
      </c>
      <c r="Y32" s="297" t="str">
        <f>Gagnant(P28:U29)</f>
        <v>Saintes</v>
      </c>
      <c r="Z32" s="297"/>
      <c r="AA32" s="297"/>
      <c r="AB32" s="297"/>
      <c r="AC32" s="297"/>
      <c r="AD32" s="157">
        <f>IF('Terrain 2'!$H70="","",'Terrain 2'!$H70)</f>
        <v>2</v>
      </c>
    </row>
    <row r="33" spans="1:30" s="38" customFormat="1" ht="18.75" thickBot="1">
      <c r="A33" s="72"/>
      <c r="B33" s="162" t="s">
        <v>127</v>
      </c>
      <c r="C33" s="159" t="str">
        <f>Perdant(H28:M29)</f>
        <v>Le Puy en Velay</v>
      </c>
      <c r="D33" s="160">
        <f>IF('Terrain 1'!$G69="","",'Terrain 1'!$G69)</f>
        <v>4</v>
      </c>
      <c r="E33" s="74"/>
      <c r="F33" s="75"/>
      <c r="G33" s="162" t="s">
        <v>129</v>
      </c>
      <c r="H33" s="299" t="str">
        <f>Perdant(Y28:AD29)</f>
        <v>Morlaix</v>
      </c>
      <c r="I33" s="299">
        <f>IF(S28="","",IF(S28&lt;S29,N28,N29))</f>
      </c>
      <c r="J33" s="299">
        <f>IF(T28="","",IF(T28&lt;T29,O28,O29))</f>
      </c>
      <c r="K33" s="299" t="str">
        <f>IF(U28="","",IF(U28&lt;U29,P28,P29))</f>
        <v>HOPE</v>
      </c>
      <c r="L33" s="299">
        <f>IF(V28="","",IF(V28&lt;V29,Q28,Q29))</f>
      </c>
      <c r="M33" s="160">
        <f>IF('Terrain 2'!$G69="","",'Terrain 2'!$G69)</f>
        <v>2</v>
      </c>
      <c r="N33" s="72"/>
      <c r="O33" s="162" t="s">
        <v>131</v>
      </c>
      <c r="P33" s="299" t="str">
        <f>Gagnant(H28:M29)</f>
        <v>Nantes</v>
      </c>
      <c r="Q33" s="299"/>
      <c r="R33" s="299"/>
      <c r="S33" s="299"/>
      <c r="T33" s="299"/>
      <c r="U33" s="160">
        <f>IF('Terrain 1'!$G71="","",'Terrain 1'!$G71)</f>
        <v>1</v>
      </c>
      <c r="V33" s="75"/>
      <c r="W33" s="74"/>
      <c r="X33" s="162" t="s">
        <v>133</v>
      </c>
      <c r="Y33" s="299" t="str">
        <f>Gagnant(Y28:AD29)</f>
        <v>Clamart</v>
      </c>
      <c r="Z33" s="299"/>
      <c r="AA33" s="299"/>
      <c r="AB33" s="299"/>
      <c r="AC33" s="299"/>
      <c r="AD33" s="160">
        <f>IF('Terrain 2'!$G70="","",'Terrain 2'!$G70)</f>
        <v>5</v>
      </c>
    </row>
    <row r="34" spans="1:30" ht="18">
      <c r="A34" s="72"/>
      <c r="B34" s="42"/>
      <c r="C34" s="72"/>
      <c r="D34" s="72"/>
      <c r="E34" s="72"/>
      <c r="F34" s="72"/>
      <c r="G34" s="43"/>
      <c r="H34" s="72"/>
      <c r="I34" s="72"/>
      <c r="J34" s="72"/>
      <c r="K34" s="72"/>
      <c r="L34" s="72"/>
      <c r="M34" s="72"/>
      <c r="N34" s="75"/>
      <c r="O34" s="41"/>
      <c r="P34" s="72"/>
      <c r="Q34" s="72"/>
      <c r="R34" s="72"/>
      <c r="S34" s="72"/>
      <c r="T34" s="72"/>
      <c r="U34" s="72"/>
      <c r="V34" s="72"/>
      <c r="W34" s="72"/>
      <c r="X34" s="41"/>
      <c r="Y34" s="72"/>
      <c r="Z34" s="72"/>
      <c r="AA34" s="72"/>
      <c r="AB34" s="72"/>
      <c r="AC34" s="72"/>
      <c r="AD34" s="72"/>
    </row>
    <row r="35" spans="1:30" ht="18.75" thickBot="1">
      <c r="A35" s="72"/>
      <c r="B35" s="41"/>
      <c r="C35" s="72" t="s">
        <v>76</v>
      </c>
      <c r="D35" s="41"/>
      <c r="E35" s="72"/>
      <c r="F35" s="72"/>
      <c r="G35" s="41"/>
      <c r="H35" s="72" t="s">
        <v>67</v>
      </c>
      <c r="I35" s="72"/>
      <c r="J35" s="72"/>
      <c r="M35" s="41"/>
      <c r="N35" s="72"/>
      <c r="O35" s="41"/>
      <c r="P35" s="72" t="s">
        <v>120</v>
      </c>
      <c r="Q35" s="72"/>
      <c r="R35" s="72"/>
      <c r="U35" s="41"/>
      <c r="V35" s="73"/>
      <c r="W35" s="72"/>
      <c r="X35" s="41"/>
      <c r="Y35" s="72" t="s">
        <v>121</v>
      </c>
      <c r="Z35" s="72"/>
      <c r="AA35" s="72"/>
      <c r="AB35" s="72"/>
      <c r="AD35" s="41"/>
    </row>
    <row r="36" spans="1:30" s="38" customFormat="1" ht="18">
      <c r="A36" s="72"/>
      <c r="B36" s="145" t="s">
        <v>167</v>
      </c>
      <c r="C36" s="146" t="str">
        <f>Perdant(C32:D33)</f>
        <v>Clermont Ferrand</v>
      </c>
      <c r="D36" s="147">
        <f>IF('Terrain 2'!$G72="","",'Terrain 2'!G72)</f>
        <v>2</v>
      </c>
      <c r="E36" s="74"/>
      <c r="F36" s="75"/>
      <c r="G36" s="145" t="s">
        <v>166</v>
      </c>
      <c r="H36" s="292" t="str">
        <f>Gagnant(C32:D33)</f>
        <v>Le Puy en Velay</v>
      </c>
      <c r="I36" s="292"/>
      <c r="J36" s="292"/>
      <c r="K36" s="292"/>
      <c r="L36" s="292"/>
      <c r="M36" s="147">
        <f>IF('Terrain 1'!$G74="","",'Terrain 1'!$G74)</f>
        <v>3</v>
      </c>
      <c r="N36" s="72"/>
      <c r="O36" s="145" t="s">
        <v>164</v>
      </c>
      <c r="P36" s="292" t="str">
        <f>Perdant(P32:U33)</f>
        <v>Nantes</v>
      </c>
      <c r="Q36" s="292">
        <f>IF(J32="","",IF(J32&lt;J33,I32,I33))</f>
      </c>
      <c r="R36" s="292">
        <f>IF(K32="","",IF(K32&lt;K33,J32,J33))</f>
      </c>
      <c r="S36" s="292">
        <f>IF(L32="","",IF(L32&lt;L33,K32,K33))</f>
      </c>
      <c r="T36" s="292">
        <f>IF(M32="","",IF(M32&lt;M33,L32,L33))</f>
      </c>
      <c r="U36" s="147">
        <f>IF('Terrain 1'!$G73="","",'Terrain 1'!$G73)</f>
        <v>4</v>
      </c>
      <c r="V36" s="75"/>
      <c r="W36" s="74"/>
      <c r="X36" s="145" t="s">
        <v>165</v>
      </c>
      <c r="Y36" s="292" t="str">
        <f>Gagnant(P32:U33)</f>
        <v>Le Chesnay</v>
      </c>
      <c r="Z36" s="292"/>
      <c r="AA36" s="292"/>
      <c r="AB36" s="292"/>
      <c r="AC36" s="292"/>
      <c r="AD36" s="147">
        <f>IF('Terrain 1'!$G75="","",'Terrain 1'!$G75)</f>
        <v>1</v>
      </c>
    </row>
    <row r="37" spans="1:30" s="38" customFormat="1" ht="18.75" thickBot="1">
      <c r="A37" s="72"/>
      <c r="B37" s="148" t="s">
        <v>79</v>
      </c>
      <c r="C37" s="149" t="str">
        <f>Perdant(H32:M33)</f>
        <v>Morlaix</v>
      </c>
      <c r="D37" s="150">
        <f>IF('Terrain 2'!$H72="","",'Terrain 2'!$H72)</f>
        <v>3</v>
      </c>
      <c r="E37" s="74"/>
      <c r="F37" s="75"/>
      <c r="G37" s="148" t="s">
        <v>81</v>
      </c>
      <c r="H37" s="287" t="str">
        <f>Gagnant(H32:M33)</f>
        <v>HOPE</v>
      </c>
      <c r="I37" s="287"/>
      <c r="J37" s="287"/>
      <c r="K37" s="287"/>
      <c r="L37" s="287"/>
      <c r="M37" s="150">
        <f>IF('Terrain 1'!$H74="","",'Terrain 1'!$H74)</f>
        <v>1</v>
      </c>
      <c r="N37" s="72"/>
      <c r="O37" s="148" t="s">
        <v>80</v>
      </c>
      <c r="P37" s="287" t="str">
        <f>Perdant(Y32:AD33)</f>
        <v>Saintes</v>
      </c>
      <c r="Q37" s="287">
        <f>IF(S32="","",IF(S32&lt;S33,N32,N33))</f>
      </c>
      <c r="R37" s="287">
        <f>IF(T32="","",IF(T32&lt;T33,O32,O33))</f>
      </c>
      <c r="S37" s="287" t="str">
        <f>IF(U32="","",IF(U32&lt;U33,P32,P33))</f>
        <v>Nantes</v>
      </c>
      <c r="T37" s="287">
        <f>IF(V32="","",IF(V32&lt;V33,Q32,Q33))</f>
      </c>
      <c r="U37" s="150">
        <f>IF('Terrain 1'!$H73="","",'Terrain 1'!$H73)</f>
        <v>3</v>
      </c>
      <c r="V37" s="75"/>
      <c r="W37" s="74"/>
      <c r="X37" s="148" t="s">
        <v>82</v>
      </c>
      <c r="Y37" s="287" t="str">
        <f>Gagnant(Y32:AD33)</f>
        <v>Clamart</v>
      </c>
      <c r="Z37" s="287"/>
      <c r="AA37" s="287"/>
      <c r="AB37" s="287"/>
      <c r="AC37" s="287"/>
      <c r="AD37" s="150">
        <f>IF('Terrain 1'!$H75="","",'Terrain 1'!$H75)</f>
        <v>2</v>
      </c>
    </row>
    <row r="38" spans="1:30" ht="21">
      <c r="A38" s="68"/>
      <c r="B38" s="68"/>
      <c r="C38" s="86" t="s">
        <v>168</v>
      </c>
      <c r="D38" s="68"/>
      <c r="E38" s="68"/>
      <c r="F38" s="69"/>
      <c r="G38" s="69"/>
      <c r="H38" s="68"/>
      <c r="I38" s="291" t="s">
        <v>169</v>
      </c>
      <c r="J38" s="291"/>
      <c r="K38" s="291"/>
      <c r="L38" s="291"/>
      <c r="M38" s="291"/>
      <c r="N38" s="68"/>
      <c r="P38" s="68"/>
      <c r="Q38" s="291" t="s">
        <v>84</v>
      </c>
      <c r="R38" s="291"/>
      <c r="S38" s="291"/>
      <c r="T38" s="291"/>
      <c r="U38" s="291"/>
      <c r="V38" s="68"/>
      <c r="W38" s="68"/>
      <c r="X38" s="68"/>
      <c r="Y38" s="68"/>
      <c r="Z38" s="68"/>
      <c r="AA38" s="68"/>
      <c r="AB38" s="291" t="s">
        <v>83</v>
      </c>
      <c r="AC38" s="291"/>
      <c r="AD38" s="291"/>
    </row>
    <row r="39" spans="1:30" ht="18">
      <c r="A39" s="68"/>
      <c r="B39" s="68"/>
      <c r="C39" s="71"/>
      <c r="D39" s="68"/>
      <c r="E39" s="68"/>
      <c r="F39" s="69"/>
      <c r="G39" s="69"/>
      <c r="H39" s="68"/>
      <c r="I39" s="68"/>
      <c r="J39" s="68"/>
      <c r="K39" s="68"/>
      <c r="L39" s="68"/>
      <c r="M39" s="68"/>
      <c r="N39" s="68"/>
      <c r="O39" s="68"/>
      <c r="P39" s="68"/>
      <c r="Q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18">
      <c r="A40" s="68"/>
      <c r="B40" s="68"/>
      <c r="C40" s="68"/>
      <c r="D40" s="68"/>
      <c r="E40" s="68"/>
      <c r="F40" s="69"/>
      <c r="G40" s="69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</row>
  </sheetData>
  <sheetProtection password="9485" sheet="1"/>
  <mergeCells count="45">
    <mergeCell ref="F23:G23"/>
    <mergeCell ref="D22:E22"/>
    <mergeCell ref="D24:E24"/>
    <mergeCell ref="F17:G17"/>
    <mergeCell ref="D18:E18"/>
    <mergeCell ref="F18:G18"/>
    <mergeCell ref="D19:E19"/>
    <mergeCell ref="F19:G19"/>
    <mergeCell ref="D17:E17"/>
    <mergeCell ref="C2:H2"/>
    <mergeCell ref="J2:K2"/>
    <mergeCell ref="M2:V2"/>
    <mergeCell ref="C3:H3"/>
    <mergeCell ref="M3:V3"/>
    <mergeCell ref="F24:G24"/>
    <mergeCell ref="D21:E21"/>
    <mergeCell ref="F21:G21"/>
    <mergeCell ref="F22:G22"/>
    <mergeCell ref="D23:E23"/>
    <mergeCell ref="B4:D4"/>
    <mergeCell ref="D20:E20"/>
    <mergeCell ref="F20:G20"/>
    <mergeCell ref="Q38:U38"/>
    <mergeCell ref="H33:L33"/>
    <mergeCell ref="P33:T33"/>
    <mergeCell ref="F25:G25"/>
    <mergeCell ref="H32:L32"/>
    <mergeCell ref="P32:T32"/>
    <mergeCell ref="P29:T29"/>
    <mergeCell ref="AB38:AD38"/>
    <mergeCell ref="I38:M38"/>
    <mergeCell ref="Y37:AC37"/>
    <mergeCell ref="Y36:AC36"/>
    <mergeCell ref="H36:L36"/>
    <mergeCell ref="H37:L37"/>
    <mergeCell ref="P37:T37"/>
    <mergeCell ref="Y28:AC28"/>
    <mergeCell ref="D25:E25"/>
    <mergeCell ref="P36:T36"/>
    <mergeCell ref="Y29:AC29"/>
    <mergeCell ref="Y32:AC32"/>
    <mergeCell ref="Y33:AC33"/>
    <mergeCell ref="H28:L28"/>
    <mergeCell ref="P28:T28"/>
    <mergeCell ref="H29:L29"/>
  </mergeCells>
  <conditionalFormatting sqref="AF7 N6 H17:H26">
    <cfRule type="cellIs" priority="3" dxfId="2" operator="equal" stopIfTrue="1">
      <formula>0</formula>
    </cfRule>
  </conditionalFormatting>
  <conditionalFormatting sqref="P6:S6">
    <cfRule type="cellIs" priority="4" dxfId="1" operator="equal" stopIfTrue="1">
      <formula>0</formula>
    </cfRule>
  </conditionalFormatting>
  <conditionalFormatting sqref="AF8:AF15">
    <cfRule type="cellIs" priority="1" dxfId="0" operator="equal" stopIfTrue="1">
      <formula>0</formula>
    </cfRule>
  </conditionalFormatting>
  <printOptions/>
  <pageMargins left="0.35433070866141736" right="0.2755905511811024" top="0.5118110236220472" bottom="0.8661417322834646" header="0.2755905511811024" footer="0.5118110236220472"/>
  <pageSetup fitToHeight="1" fitToWidth="1" horizontalDpi="600" verticalDpi="600" orientation="landscape" paperSize="9" scale="67" r:id="rId2"/>
  <headerFooter alignWithMargins="0">
    <oddHeader xml:space="preserve">&amp;R&amp;"Arial,Gras"&amp;14   </oddHeader>
    <oddFooter>&amp;C&amp;"Arial,Gras"&amp;14&amp;A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1">
    <pageSetUpPr fitToPage="1"/>
  </sheetPr>
  <dimension ref="A1:AI41"/>
  <sheetViews>
    <sheetView zoomScale="85" zoomScaleNormal="85" zoomScalePageLayoutView="0" workbookViewId="0" topLeftCell="A4">
      <selection activeCell="AI38" sqref="AI38"/>
    </sheetView>
  </sheetViews>
  <sheetFormatPr defaultColWidth="11.421875" defaultRowHeight="12.75"/>
  <cols>
    <col min="1" max="1" width="4.421875" style="29" customWidth="1"/>
    <col min="2" max="2" width="6.00390625" style="29" customWidth="1"/>
    <col min="3" max="3" width="31.140625" style="29" customWidth="1"/>
    <col min="4" max="5" width="5.28125" style="29" customWidth="1"/>
    <col min="6" max="7" width="5.28125" style="32" customWidth="1"/>
    <col min="8" max="31" width="5.28125" style="29" customWidth="1"/>
    <col min="32" max="33" width="5.7109375" style="29" customWidth="1"/>
    <col min="34" max="16384" width="11.421875" style="29" customWidth="1"/>
  </cols>
  <sheetData>
    <row r="1" spans="6:7" s="20" customFormat="1" ht="90.75" customHeight="1">
      <c r="F1" s="21"/>
      <c r="G1" s="21"/>
    </row>
    <row r="2" spans="1:22" s="20" customFormat="1" ht="25.5" customHeight="1">
      <c r="A2" s="22" t="s">
        <v>51</v>
      </c>
      <c r="B2" s="22"/>
      <c r="C2" s="271" t="str">
        <f>saison</f>
        <v>2021-2022</v>
      </c>
      <c r="D2" s="272"/>
      <c r="E2" s="272"/>
      <c r="F2" s="272"/>
      <c r="G2" s="272"/>
      <c r="H2" s="273"/>
      <c r="I2" s="23"/>
      <c r="J2" s="284" t="s">
        <v>52</v>
      </c>
      <c r="K2" s="284"/>
      <c r="L2" s="24"/>
      <c r="M2" s="270" t="str">
        <f>lieu</f>
        <v>Laval</v>
      </c>
      <c r="N2" s="270"/>
      <c r="O2" s="270"/>
      <c r="P2" s="270"/>
      <c r="Q2" s="270"/>
      <c r="R2" s="270"/>
      <c r="S2" s="270"/>
      <c r="T2" s="270"/>
      <c r="U2" s="270"/>
      <c r="V2" s="270"/>
    </row>
    <row r="3" spans="1:22" s="20" customFormat="1" ht="21" customHeight="1">
      <c r="A3" s="22" t="s">
        <v>53</v>
      </c>
      <c r="C3" s="271" t="str">
        <f>date</f>
        <v>4-5 et 6 Juin 2022</v>
      </c>
      <c r="D3" s="272"/>
      <c r="E3" s="272"/>
      <c r="F3" s="272"/>
      <c r="G3" s="272"/>
      <c r="H3" s="273"/>
      <c r="I3" s="23"/>
      <c r="J3" s="22" t="s">
        <v>54</v>
      </c>
      <c r="K3" s="25"/>
      <c r="L3" s="24"/>
      <c r="M3" s="271" t="str">
        <f>catégorie</f>
        <v>Division 1 Manche 3</v>
      </c>
      <c r="N3" s="272"/>
      <c r="O3" s="272"/>
      <c r="P3" s="272"/>
      <c r="Q3" s="272"/>
      <c r="R3" s="272"/>
      <c r="S3" s="272"/>
      <c r="T3" s="272"/>
      <c r="U3" s="272"/>
      <c r="V3" s="273"/>
    </row>
    <row r="4" spans="2:16" s="20" customFormat="1" ht="18" customHeight="1">
      <c r="B4" s="285" t="s">
        <v>55</v>
      </c>
      <c r="C4" s="285"/>
      <c r="D4" s="285"/>
      <c r="E4" s="26" t="str">
        <f>duréematch</f>
        <v>2*11' +2' de mi-temps +1' temps mort par  équipe +3' inter-match = 29'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s="20" customFormat="1" ht="9.75" customHeight="1">
      <c r="B5" s="27"/>
      <c r="C5" s="27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2:15" ht="15.75">
      <c r="B6" s="30"/>
      <c r="D6" s="30"/>
      <c r="E6" s="31"/>
      <c r="H6" s="30"/>
      <c r="I6" s="30"/>
      <c r="J6" s="30"/>
      <c r="K6" s="30"/>
      <c r="L6" s="30"/>
      <c r="M6" s="30"/>
      <c r="N6" s="30"/>
      <c r="O6" s="30"/>
    </row>
    <row r="7" spans="2:35" s="20" customFormat="1" ht="30" customHeight="1" thickBot="1">
      <c r="B7" s="33"/>
      <c r="C7" s="22"/>
      <c r="D7" s="34">
        <v>201</v>
      </c>
      <c r="E7" s="34">
        <v>202</v>
      </c>
      <c r="F7" s="34">
        <v>203</v>
      </c>
      <c r="G7" s="34">
        <v>204</v>
      </c>
      <c r="H7" s="34">
        <v>208</v>
      </c>
      <c r="I7" s="34">
        <v>209</v>
      </c>
      <c r="J7" s="34">
        <v>207</v>
      </c>
      <c r="K7" s="34">
        <v>210</v>
      </c>
      <c r="L7" s="34">
        <v>213</v>
      </c>
      <c r="M7" s="34">
        <v>214</v>
      </c>
      <c r="N7" s="34">
        <v>215</v>
      </c>
      <c r="O7" s="34">
        <v>216</v>
      </c>
      <c r="P7" s="34">
        <v>218</v>
      </c>
      <c r="Q7" s="34">
        <v>219</v>
      </c>
      <c r="R7" s="34">
        <v>220</v>
      </c>
      <c r="S7" s="34">
        <v>221</v>
      </c>
      <c r="T7" s="34">
        <v>223</v>
      </c>
      <c r="U7" s="34">
        <v>224</v>
      </c>
      <c r="V7" s="34">
        <v>225</v>
      </c>
      <c r="W7" s="34">
        <v>226</v>
      </c>
      <c r="X7" s="34">
        <v>229</v>
      </c>
      <c r="Y7" s="34">
        <v>230</v>
      </c>
      <c r="Z7" s="34">
        <v>231</v>
      </c>
      <c r="AA7" s="34">
        <v>232</v>
      </c>
      <c r="AB7" s="34">
        <v>235</v>
      </c>
      <c r="AC7" s="34">
        <v>236</v>
      </c>
      <c r="AD7" s="34">
        <v>237</v>
      </c>
      <c r="AE7" s="34">
        <v>238</v>
      </c>
      <c r="AF7" s="35" t="s">
        <v>270</v>
      </c>
      <c r="AG7" s="35" t="s">
        <v>56</v>
      </c>
      <c r="AH7" s="119" t="s">
        <v>139</v>
      </c>
      <c r="AI7" s="119" t="s">
        <v>140</v>
      </c>
    </row>
    <row r="8" spans="2:35" ht="15.75">
      <c r="B8" s="36" t="s">
        <v>27</v>
      </c>
      <c r="C8" s="122" t="str">
        <f>EQFA</f>
        <v>Pontoise F</v>
      </c>
      <c r="D8" s="112">
        <f>IF('Terrain 2'!G9&lt;&gt;"",'Terrain 2'!G9,"")</f>
        <v>3</v>
      </c>
      <c r="E8" s="123"/>
      <c r="F8" s="123"/>
      <c r="G8" s="123"/>
      <c r="H8" s="123"/>
      <c r="I8" s="123"/>
      <c r="J8" s="112">
        <f>IF('Terrain 2'!G15&lt;&gt;"",'Terrain 2'!G15,"")</f>
        <v>2</v>
      </c>
      <c r="K8" s="123"/>
      <c r="L8" s="112">
        <f>IF('Terrain 2'!H22&lt;&gt;"",'Terrain 2'!H22,"")</f>
        <v>4</v>
      </c>
      <c r="M8" s="123"/>
      <c r="N8" s="123"/>
      <c r="O8" s="123"/>
      <c r="P8" s="112">
        <f>IF('Terrain 2'!G27&lt;&gt;"",'Terrain 2'!G27,"")</f>
        <v>2</v>
      </c>
      <c r="Q8" s="123"/>
      <c r="R8" s="123"/>
      <c r="S8" s="123"/>
      <c r="T8" s="112">
        <f>IF('Terrain 2'!H34&lt;&gt;"",'Terrain 2'!H34,"")</f>
        <v>5</v>
      </c>
      <c r="U8" s="123"/>
      <c r="V8" s="123"/>
      <c r="W8" s="123"/>
      <c r="X8" s="123"/>
      <c r="Y8" s="112">
        <f>IF('Terrain 2'!H41&lt;&gt;"",'Terrain 2'!H41,"")</f>
        <v>4</v>
      </c>
      <c r="Z8" s="123"/>
      <c r="AA8" s="123"/>
      <c r="AB8" s="112">
        <f>IF('Terrain 2'!G47&lt;&gt;"",'Terrain 2'!G47,"")</f>
        <v>7</v>
      </c>
      <c r="AC8" s="123"/>
      <c r="AD8" s="123"/>
      <c r="AE8" s="123"/>
      <c r="AF8" s="112">
        <f>CalculPointMatchs(D8,D9,J8,J10,L8,L11,P8,P12,T8,T13,Y8,Y14,AB8,AB15)</f>
        <v>27.997027</v>
      </c>
      <c r="AG8" s="124">
        <f aca="true" t="shared" si="0" ref="AG8:AG15">IF(AE$10="","",RANK(AF8,$AF$8:$AF$15))</f>
        <v>1</v>
      </c>
      <c r="AH8" s="124">
        <f>SUM(D9,J10,L11,P12,T13,Y14,AB15)</f>
        <v>3</v>
      </c>
      <c r="AI8" s="125">
        <f aca="true" t="shared" si="1" ref="AI8:AI15">SUM(D8:AE8)</f>
        <v>27</v>
      </c>
    </row>
    <row r="9" spans="2:35" ht="15.75">
      <c r="B9" s="126" t="s">
        <v>28</v>
      </c>
      <c r="C9" s="109" t="str">
        <f>EQFB</f>
        <v>Rennes F</v>
      </c>
      <c r="D9" s="110">
        <f>IF('Terrain 2'!H9&lt;&gt;"",'Terrain 2'!H9,"")</f>
        <v>0</v>
      </c>
      <c r="E9" s="120"/>
      <c r="F9" s="120"/>
      <c r="G9" s="120"/>
      <c r="H9" s="110">
        <f>IF('Terrain 2'!G16&lt;&gt;"",'Terrain 2'!G16,"")</f>
        <v>3</v>
      </c>
      <c r="I9" s="120"/>
      <c r="J9" s="120"/>
      <c r="K9" s="120"/>
      <c r="L9" s="120"/>
      <c r="M9" s="110">
        <f>IF('Terrain 2'!G23&lt;&gt;"",'Terrain 2'!G23,"")</f>
        <v>1</v>
      </c>
      <c r="N9" s="120"/>
      <c r="O9" s="120"/>
      <c r="P9" s="120"/>
      <c r="Q9" s="110">
        <f>IF('Terrain 2'!G28&lt;&gt;"",'Terrain 2'!G28,"")</f>
        <v>6</v>
      </c>
      <c r="R9" s="120"/>
      <c r="S9" s="120"/>
      <c r="T9" s="120"/>
      <c r="U9" s="110">
        <f>IF('Terrain 2'!H35&lt;&gt;"",'Terrain 2'!H35,"")</f>
        <v>3</v>
      </c>
      <c r="V9" s="120"/>
      <c r="W9" s="120"/>
      <c r="X9" s="120"/>
      <c r="Y9" s="120"/>
      <c r="Z9" s="110">
        <f>IF('Terrain 2'!G42&lt;&gt;"",'Terrain 2'!G42,"")</f>
        <v>6</v>
      </c>
      <c r="AA9" s="120"/>
      <c r="AB9" s="120"/>
      <c r="AC9" s="110">
        <f>IF('Terrain 2'!H48&lt;&gt;"",'Terrain 2'!H48,"")</f>
        <v>4</v>
      </c>
      <c r="AD9" s="120"/>
      <c r="AE9" s="120"/>
      <c r="AF9" s="110">
        <f>CalculPointMatchs(D9,D8,H9,H11,M9,M12,Q9,Q13,U9,U10,Z9,Z15,AC9,AC14)</f>
        <v>20.990023</v>
      </c>
      <c r="AG9" s="62">
        <f t="shared" si="0"/>
        <v>3</v>
      </c>
      <c r="AH9" s="62">
        <f>SUM(D8,H11,M12,Q13,U10,Z15,AC14)</f>
        <v>10</v>
      </c>
      <c r="AI9" s="127">
        <f t="shared" si="1"/>
        <v>23</v>
      </c>
    </row>
    <row r="10" spans="2:35" ht="15.75">
      <c r="B10" s="126" t="s">
        <v>29</v>
      </c>
      <c r="C10" s="109" t="str">
        <f>EQFC</f>
        <v>Le Chesnay F</v>
      </c>
      <c r="D10" s="121"/>
      <c r="E10" s="110">
        <f>IF('Terrain 2'!G10&lt;&gt;"",'Terrain 2'!G10,"")</f>
        <v>5</v>
      </c>
      <c r="F10" s="120"/>
      <c r="G10" s="120"/>
      <c r="H10" s="120"/>
      <c r="I10" s="120"/>
      <c r="J10" s="110">
        <f>IF('Terrain 2'!H15&lt;&gt;"",'Terrain 2'!H15,"")</f>
        <v>0</v>
      </c>
      <c r="K10" s="120"/>
      <c r="L10" s="120"/>
      <c r="M10" s="120"/>
      <c r="N10" s="120"/>
      <c r="O10" s="110">
        <f>IF('Terrain 2'!H25&lt;&gt;"",'Terrain 2'!H25,"")</f>
        <v>5</v>
      </c>
      <c r="P10" s="120"/>
      <c r="Q10" s="120"/>
      <c r="R10" s="110">
        <f>IF('Terrain 2'!H29&lt;&gt;"",'Terrain 2'!H29,"")</f>
        <v>6</v>
      </c>
      <c r="S10" s="120"/>
      <c r="T10" s="120"/>
      <c r="U10" s="110">
        <f>IF('Terrain 2'!G35&lt;&gt;"",'Terrain 2'!G35,"")</f>
        <v>3</v>
      </c>
      <c r="V10" s="120"/>
      <c r="W10" s="120"/>
      <c r="X10" s="110">
        <f>IF('Terrain 2'!G40&lt;&gt;"",'Terrain 2'!G40,"")</f>
        <v>5</v>
      </c>
      <c r="Y10" s="120"/>
      <c r="Z10" s="120"/>
      <c r="AA10" s="120"/>
      <c r="AB10" s="120"/>
      <c r="AC10" s="120"/>
      <c r="AD10" s="120"/>
      <c r="AE10" s="110">
        <f>IF('Terrain 2'!G50&lt;&gt;"",'Terrain 2'!G50,"")</f>
        <v>5</v>
      </c>
      <c r="AF10" s="110">
        <f>CalculPointMatchs(E10,E11,J10,J8,O10,O15,R10,R14,U10,U9,X10,X13,AE10,AE12)</f>
        <v>22.991029</v>
      </c>
      <c r="AG10" s="62">
        <f t="shared" si="0"/>
        <v>2</v>
      </c>
      <c r="AH10" s="62">
        <f>SUM(E11,J8,O15,R14,U9,X13,AE12)</f>
        <v>9</v>
      </c>
      <c r="AI10" s="127">
        <f t="shared" si="1"/>
        <v>29</v>
      </c>
    </row>
    <row r="11" spans="2:35" ht="15.75">
      <c r="B11" s="126" t="s">
        <v>30</v>
      </c>
      <c r="C11" s="109" t="str">
        <f>EQFD</f>
        <v>HOPE F</v>
      </c>
      <c r="D11" s="121"/>
      <c r="E11" s="110">
        <f>IF('Terrain 2'!H10&lt;&gt;"",'Terrain 2'!H10,"")</f>
        <v>2</v>
      </c>
      <c r="F11" s="120"/>
      <c r="G11" s="120"/>
      <c r="H11" s="110">
        <f>IF('Terrain 2'!H16&lt;&gt;"",'Terrain 2'!H16,"")</f>
        <v>0</v>
      </c>
      <c r="I11" s="120"/>
      <c r="J11" s="120"/>
      <c r="K11" s="120"/>
      <c r="L11" s="110">
        <f>IF('Terrain 2'!G22&lt;&gt;"",'Terrain 2'!G22,"")</f>
        <v>2</v>
      </c>
      <c r="M11" s="120"/>
      <c r="N11" s="120"/>
      <c r="O11" s="120"/>
      <c r="P11" s="120"/>
      <c r="Q11" s="120"/>
      <c r="R11" s="120"/>
      <c r="S11" s="110">
        <f>IF('Terrain 2'!H30&lt;&gt;"",'Terrain 2'!H30,"")</f>
        <v>4</v>
      </c>
      <c r="T11" s="120"/>
      <c r="U11" s="120"/>
      <c r="V11" s="110">
        <f>IF('Terrain 2'!G36&lt;&gt;"",'Terrain 2'!G36,"")</f>
        <v>6</v>
      </c>
      <c r="W11" s="120"/>
      <c r="X11" s="120"/>
      <c r="Y11" s="120"/>
      <c r="Z11" s="120"/>
      <c r="AA11" s="110">
        <f>IF('Terrain 2'!H43&lt;&gt;"",'Terrain 2'!H43,"")</f>
        <v>2</v>
      </c>
      <c r="AB11" s="120"/>
      <c r="AC11" s="120"/>
      <c r="AD11" s="110">
        <f>IF('Terrain 2'!G49&lt;&gt;"",'Terrain 2'!G49,"")</f>
        <v>2</v>
      </c>
      <c r="AE11" s="120"/>
      <c r="AF11" s="110">
        <f>CalculPointMatchs(E11,E10,H11,H9,L11,L8,S11,S15,V11,V14,AA11,AA12,AD11,AD13)</f>
        <v>16.984018</v>
      </c>
      <c r="AG11" s="62">
        <f t="shared" si="0"/>
        <v>5</v>
      </c>
      <c r="AH11" s="62">
        <f>SUM(E10,H9,L8,S15,V14,AA12,AD13)</f>
        <v>16</v>
      </c>
      <c r="AI11" s="127">
        <f t="shared" si="1"/>
        <v>18</v>
      </c>
    </row>
    <row r="12" spans="2:35" ht="15.75">
      <c r="B12" s="126" t="s">
        <v>31</v>
      </c>
      <c r="C12" s="109" t="str">
        <f>EQFE</f>
        <v>Hyères F</v>
      </c>
      <c r="D12" s="121"/>
      <c r="E12" s="120"/>
      <c r="F12" s="110">
        <f>IF('Terrain 2'!G11&lt;&gt;"",'Terrain 2'!G11,"")</f>
        <v>2</v>
      </c>
      <c r="G12" s="120"/>
      <c r="H12" s="120"/>
      <c r="I12" s="110">
        <f>IF('Terrain 2'!G18&lt;&gt;"",'Terrain 2'!G18,"")</f>
        <v>4</v>
      </c>
      <c r="J12" s="120"/>
      <c r="K12" s="120"/>
      <c r="L12" s="120"/>
      <c r="M12" s="110">
        <f>IF('Terrain 2'!H23&lt;&gt;"",'Terrain 2'!H23,"")</f>
        <v>1</v>
      </c>
      <c r="N12" s="120"/>
      <c r="O12" s="120"/>
      <c r="P12" s="110">
        <f>IF('Terrain 2'!H27&lt;&gt;"",'Terrain 2'!H27,"")</f>
        <v>0</v>
      </c>
      <c r="Q12" s="120"/>
      <c r="R12" s="120"/>
      <c r="S12" s="120"/>
      <c r="T12" s="120"/>
      <c r="U12" s="120"/>
      <c r="V12" s="120"/>
      <c r="W12" s="110">
        <f>IF('Terrain 2'!H37&lt;&gt;"",'Terrain 2'!H37,"")</f>
        <v>2</v>
      </c>
      <c r="X12" s="120"/>
      <c r="Y12" s="120"/>
      <c r="Z12" s="120"/>
      <c r="AA12" s="110">
        <f>IF('Terrain 2'!G43&lt;&gt;"",'Terrain 2'!G43,"")</f>
        <v>2</v>
      </c>
      <c r="AB12" s="120"/>
      <c r="AC12" s="120"/>
      <c r="AD12" s="120"/>
      <c r="AE12" s="110">
        <f>IF('Terrain 2'!H50&lt;&gt;"",'Terrain 2'!H50,"")</f>
        <v>0</v>
      </c>
      <c r="AF12" s="110">
        <f>CalculPointMatchs(F12,F13,I12,I14,M12,M9,P12,P8,W12,W15,AA12,AA11,AE12,AE10)</f>
        <v>17.988011</v>
      </c>
      <c r="AG12" s="62">
        <f t="shared" si="0"/>
        <v>4</v>
      </c>
      <c r="AH12" s="62">
        <f>SUM(F13,I14,M9,P8,W15,AA11,AE10)</f>
        <v>12</v>
      </c>
      <c r="AI12" s="127">
        <f t="shared" si="1"/>
        <v>11</v>
      </c>
    </row>
    <row r="13" spans="2:35" ht="15.75">
      <c r="B13" s="126" t="s">
        <v>32</v>
      </c>
      <c r="C13" s="109" t="str">
        <f>EQFF</f>
        <v>Moirans F</v>
      </c>
      <c r="D13" s="121"/>
      <c r="E13" s="120"/>
      <c r="F13" s="110">
        <f>IF('Terrain 2'!H11&lt;&gt;"",'Terrain 2'!H11,"")</f>
        <v>1</v>
      </c>
      <c r="G13" s="120"/>
      <c r="H13" s="120"/>
      <c r="I13" s="120"/>
      <c r="J13" s="120"/>
      <c r="K13" s="110">
        <f>IF('Terrain 2'!G19&lt;&gt;"",'Terrain 2'!G19,"")</f>
        <v>4</v>
      </c>
      <c r="L13" s="120"/>
      <c r="M13" s="120"/>
      <c r="N13" s="110">
        <f>IF('Terrain 2'!G24&lt;&gt;"",'Terrain 2'!G24,"")</f>
        <v>4</v>
      </c>
      <c r="O13" s="120"/>
      <c r="P13" s="120"/>
      <c r="Q13" s="110">
        <f>IF('Terrain 2'!H28&lt;&gt;"",'Terrain 2'!H28,"")</f>
        <v>1</v>
      </c>
      <c r="R13" s="120"/>
      <c r="S13" s="120"/>
      <c r="T13" s="110">
        <f>IF('Terrain 2'!G34&lt;&gt;"",'Terrain 2'!G34,"")</f>
        <v>1</v>
      </c>
      <c r="U13" s="120"/>
      <c r="V13" s="120"/>
      <c r="W13" s="120"/>
      <c r="X13" s="110">
        <f>IF('Terrain 2'!H40&lt;&gt;"",'Terrain 2'!H40,"")</f>
        <v>0</v>
      </c>
      <c r="Y13" s="120"/>
      <c r="Z13" s="120"/>
      <c r="AA13" s="120"/>
      <c r="AB13" s="120"/>
      <c r="AC13" s="120"/>
      <c r="AD13" s="110">
        <f>IF('Terrain 2'!H49&lt;&gt;"",'Terrain 2'!H49,"")</f>
        <v>0</v>
      </c>
      <c r="AE13" s="120"/>
      <c r="AF13" s="110">
        <f>CalculPointMatchs(F13,F12,K13,K15,N13,N14,Q13,Q9,T13,T8,X13,X10,AD13,AD11)</f>
        <v>12.979011</v>
      </c>
      <c r="AG13" s="62">
        <f t="shared" si="0"/>
        <v>6</v>
      </c>
      <c r="AH13" s="62">
        <f>SUM(F12,K15,N14,Q9,T8,X10,AD11)</f>
        <v>21</v>
      </c>
      <c r="AI13" s="127">
        <f t="shared" si="1"/>
        <v>11</v>
      </c>
    </row>
    <row r="14" spans="2:35" ht="15.75">
      <c r="B14" s="126" t="s">
        <v>33</v>
      </c>
      <c r="C14" s="109" t="str">
        <f>EQFG</f>
        <v>Fontenay F</v>
      </c>
      <c r="D14" s="121"/>
      <c r="E14" s="120"/>
      <c r="F14" s="120"/>
      <c r="G14" s="110">
        <f>IF('Terrain 2'!G12&lt;&gt;"",'Terrain 2'!G12,"")</f>
        <v>3</v>
      </c>
      <c r="H14" s="120"/>
      <c r="I14" s="110">
        <f>IF('Terrain 2'!H18&lt;&gt;"",'Terrain 2'!H18,"")</f>
        <v>1</v>
      </c>
      <c r="J14" s="120"/>
      <c r="K14" s="120"/>
      <c r="L14" s="120"/>
      <c r="M14" s="120"/>
      <c r="N14" s="110">
        <f>IF('Terrain 2'!H24&lt;&gt;"",'Terrain 2'!H24,"")</f>
        <v>0</v>
      </c>
      <c r="O14" s="120"/>
      <c r="P14" s="120"/>
      <c r="Q14" s="120"/>
      <c r="R14" s="110">
        <f>IF('Terrain 2'!G29&lt;&gt;"",'Terrain 2'!G29,"")</f>
        <v>0</v>
      </c>
      <c r="S14" s="120"/>
      <c r="T14" s="120"/>
      <c r="U14" s="120"/>
      <c r="V14" s="110">
        <f>IF('Terrain 2'!H36&lt;&gt;"",'Terrain 2'!H36,"")</f>
        <v>1</v>
      </c>
      <c r="W14" s="120"/>
      <c r="X14" s="120"/>
      <c r="Y14" s="110">
        <f>IF('Terrain 2'!G41&lt;&gt;"",'Terrain 2'!G41,"")</f>
        <v>0</v>
      </c>
      <c r="Z14" s="120"/>
      <c r="AA14" s="120"/>
      <c r="AB14" s="120"/>
      <c r="AC14" s="110">
        <f>IF('Terrain 2'!G48&lt;&gt;"",'Terrain 2'!G48,"")</f>
        <v>2</v>
      </c>
      <c r="AD14" s="120"/>
      <c r="AE14" s="120"/>
      <c r="AF14" s="110">
        <v>7</v>
      </c>
      <c r="AG14" s="62">
        <f t="shared" si="0"/>
        <v>8</v>
      </c>
      <c r="AH14" s="62">
        <f>SUM(G15,I12,N13,R10,V11,Y8,AC9)</f>
        <v>32</v>
      </c>
      <c r="AI14" s="127">
        <f t="shared" si="1"/>
        <v>7</v>
      </c>
    </row>
    <row r="15" spans="2:35" ht="16.5" thickBot="1">
      <c r="B15" s="128" t="s">
        <v>34</v>
      </c>
      <c r="C15" s="129" t="str">
        <f>EQFH</f>
        <v>Dinan F</v>
      </c>
      <c r="D15" s="130"/>
      <c r="E15" s="131"/>
      <c r="F15" s="131"/>
      <c r="G15" s="117">
        <f>IF('Terrain 2'!H12&lt;&gt;"",'Terrain 2'!H12,"")</f>
        <v>4</v>
      </c>
      <c r="H15" s="131"/>
      <c r="I15" s="131"/>
      <c r="J15" s="131"/>
      <c r="K15" s="117">
        <f>IF('Terrain 2'!H19&lt;&gt;"",'Terrain 2'!H19,"")</f>
        <v>1</v>
      </c>
      <c r="L15" s="131"/>
      <c r="M15" s="131"/>
      <c r="N15" s="131"/>
      <c r="O15" s="117">
        <f>IF('Terrain 2'!G25&lt;&gt;"",'Terrain 2'!G25,"")</f>
        <v>2</v>
      </c>
      <c r="P15" s="131"/>
      <c r="Q15" s="131"/>
      <c r="R15" s="131"/>
      <c r="S15" s="117">
        <f>IF('Terrain 2'!G30&lt;&gt;"",'Terrain 2'!G30,"")</f>
        <v>1</v>
      </c>
      <c r="T15" s="131"/>
      <c r="U15" s="131"/>
      <c r="V15" s="131"/>
      <c r="W15" s="117">
        <f>IF('Terrain 2'!G37&lt;&gt;"",'Terrain 2'!G37,"")</f>
        <v>0</v>
      </c>
      <c r="X15" s="131"/>
      <c r="Y15" s="131"/>
      <c r="Z15" s="117">
        <f>IF('Terrain 2'!H42&lt;&gt;"",'Terrain 2'!H42,"")</f>
        <v>0</v>
      </c>
      <c r="AA15" s="131"/>
      <c r="AB15" s="117">
        <f>IF('Terrain 2'!H47&lt;&gt;"",'Terrain 2'!H47,"")</f>
        <v>0</v>
      </c>
      <c r="AC15" s="131"/>
      <c r="AD15" s="131"/>
      <c r="AE15" s="131"/>
      <c r="AF15" s="117">
        <v>10</v>
      </c>
      <c r="AG15" s="132">
        <f t="shared" si="0"/>
        <v>7</v>
      </c>
      <c r="AH15" s="132">
        <f>SUM(G14,K13,O10,S11,W12,Z9,AB8)</f>
        <v>31</v>
      </c>
      <c r="AI15" s="133">
        <f t="shared" si="1"/>
        <v>8</v>
      </c>
    </row>
    <row r="16" ht="15.75">
      <c r="E16" s="37"/>
    </row>
    <row r="17" ht="15.75">
      <c r="E17" s="37"/>
    </row>
    <row r="18" spans="4:9" ht="15.75" thickBot="1">
      <c r="D18" s="274" t="s">
        <v>143</v>
      </c>
      <c r="E18" s="274"/>
      <c r="F18" s="274" t="s">
        <v>142</v>
      </c>
      <c r="G18" s="274"/>
      <c r="H18" s="35" t="s">
        <v>270</v>
      </c>
      <c r="I18" s="66" t="s">
        <v>56</v>
      </c>
    </row>
    <row r="19" spans="3:9" ht="15.75">
      <c r="C19" s="111" t="str">
        <f>EQFA</f>
        <v>Pontoise F</v>
      </c>
      <c r="D19" s="301">
        <v>8</v>
      </c>
      <c r="E19" s="301"/>
      <c r="F19" s="279">
        <f>_xlfn.IFERROR(9-1.01*INDEX(AG8:AG15,MATCH(C19,C8:C15,0)),"")</f>
        <v>7.99</v>
      </c>
      <c r="G19" s="279"/>
      <c r="H19" s="134">
        <f>IF(F19="","",SUM(D19:G19))</f>
        <v>15.99</v>
      </c>
      <c r="I19" s="113">
        <f>IF(F19="","",RANK(H19,$H$19:$H$26))</f>
        <v>1</v>
      </c>
    </row>
    <row r="20" spans="3:9" ht="15.75">
      <c r="C20" s="114" t="str">
        <f>EQFB</f>
        <v>Rennes F</v>
      </c>
      <c r="D20" s="300">
        <v>7</v>
      </c>
      <c r="E20" s="300"/>
      <c r="F20" s="269">
        <f>_xlfn.IFERROR(9-1.01*INDEX(AG8:AG15,MATCH(C20,C8:C15,0)),"")</f>
        <v>5.97</v>
      </c>
      <c r="G20" s="269"/>
      <c r="H20" s="135">
        <f aca="true" t="shared" si="2" ref="H20:H25">IF(F20="","",SUM(D20:G20))</f>
        <v>12.969999999999999</v>
      </c>
      <c r="I20" s="115">
        <v>2</v>
      </c>
    </row>
    <row r="21" spans="3:9" ht="15.75">
      <c r="C21" s="114" t="str">
        <f>EQFC</f>
        <v>Le Chesnay F</v>
      </c>
      <c r="D21" s="300">
        <v>6</v>
      </c>
      <c r="E21" s="300"/>
      <c r="F21" s="269">
        <f>_xlfn.IFERROR(9-1.01*INDEX(AG8:AG15,MATCH(C21,C8:C15,0)),"")</f>
        <v>6.98</v>
      </c>
      <c r="G21" s="269"/>
      <c r="H21" s="135">
        <f t="shared" si="2"/>
        <v>12.98</v>
      </c>
      <c r="I21" s="115">
        <v>3</v>
      </c>
    </row>
    <row r="22" spans="3:9" ht="15.75">
      <c r="C22" s="114" t="str">
        <f>EQFD</f>
        <v>HOPE F</v>
      </c>
      <c r="D22" s="300">
        <v>5</v>
      </c>
      <c r="E22" s="300"/>
      <c r="F22" s="269">
        <f>_xlfn.IFERROR(9-1.01*INDEX(AG8:AG15,MATCH(C22,C8:C15,0)),"")</f>
        <v>3.95</v>
      </c>
      <c r="G22" s="269"/>
      <c r="H22" s="135">
        <f t="shared" si="2"/>
        <v>8.95</v>
      </c>
      <c r="I22" s="115">
        <v>4</v>
      </c>
    </row>
    <row r="23" spans="3:9" ht="15.75">
      <c r="C23" s="114" t="str">
        <f>EQFE</f>
        <v>Hyères F</v>
      </c>
      <c r="D23" s="300">
        <v>4</v>
      </c>
      <c r="E23" s="300"/>
      <c r="F23" s="269">
        <f>_xlfn.IFERROR(9-1.01*INDEX(AG8:AG15,MATCH(C23,C8:C15,0)),"")</f>
        <v>4.96</v>
      </c>
      <c r="G23" s="269"/>
      <c r="H23" s="135">
        <f t="shared" si="2"/>
        <v>8.96</v>
      </c>
      <c r="I23" s="115">
        <v>5</v>
      </c>
    </row>
    <row r="24" spans="3:9" ht="15.75">
      <c r="C24" s="114" t="str">
        <f>EQFF</f>
        <v>Moirans F</v>
      </c>
      <c r="D24" s="300">
        <v>3</v>
      </c>
      <c r="E24" s="300"/>
      <c r="F24" s="269">
        <f>_xlfn.IFERROR(9-1.01*INDEX(AG8:AG15,MATCH(C24,C8:C15,0)),"")</f>
        <v>2.9399999999999995</v>
      </c>
      <c r="G24" s="269"/>
      <c r="H24" s="135">
        <f t="shared" si="2"/>
        <v>5.9399999999999995</v>
      </c>
      <c r="I24" s="115">
        <f>IF(F24="","",RANK(H24,$H$19:$H$26))</f>
        <v>6</v>
      </c>
    </row>
    <row r="25" spans="3:9" ht="15.75">
      <c r="C25" s="114" t="str">
        <f>EQFG</f>
        <v>Fontenay F</v>
      </c>
      <c r="D25" s="300">
        <v>2</v>
      </c>
      <c r="E25" s="300"/>
      <c r="F25" s="269">
        <f>_xlfn.IFERROR(9-1.01*INDEX(AG8:AG15,MATCH(C25,C8:C15,0)),"")</f>
        <v>0.9199999999999999</v>
      </c>
      <c r="G25" s="269"/>
      <c r="H25" s="135">
        <f t="shared" si="2"/>
        <v>2.92</v>
      </c>
      <c r="I25" s="115">
        <v>7</v>
      </c>
    </row>
    <row r="26" spans="3:9" ht="16.5" thickBot="1">
      <c r="C26" s="116" t="str">
        <f>EQFH</f>
        <v>Dinan F</v>
      </c>
      <c r="D26" s="298">
        <v>1</v>
      </c>
      <c r="E26" s="298"/>
      <c r="F26" s="268">
        <f>_xlfn.IFERROR(9-1.01*INDEX(AG8:AG15,MATCH(C26,C8:C15,0)),"")</f>
        <v>1.9299999999999997</v>
      </c>
      <c r="G26" s="268"/>
      <c r="H26" s="136">
        <f>IF(F26="","",SUM(D26:G26))</f>
        <v>2.9299999999999997</v>
      </c>
      <c r="I26" s="118">
        <v>8</v>
      </c>
    </row>
    <row r="27" ht="15.75">
      <c r="E27" s="37"/>
    </row>
    <row r="28" spans="3:32" ht="18">
      <c r="C28" s="68"/>
      <c r="E28" s="37"/>
      <c r="H28" s="68"/>
      <c r="I28" s="68"/>
      <c r="J28" s="68"/>
      <c r="K28" s="68"/>
      <c r="L28" s="68"/>
      <c r="M28" s="68"/>
      <c r="Y28" s="68"/>
      <c r="Z28" s="68"/>
      <c r="AA28" s="68"/>
      <c r="AB28" s="68"/>
      <c r="AC28" s="68"/>
      <c r="AD28" s="68"/>
      <c r="AE28" s="68"/>
      <c r="AF28" s="68"/>
    </row>
    <row r="29" spans="3:32" ht="18.75" thickBot="1">
      <c r="C29" s="68" t="s">
        <v>59</v>
      </c>
      <c r="D29" s="68"/>
      <c r="E29" s="32"/>
      <c r="F29" s="29"/>
      <c r="G29" s="29"/>
      <c r="H29" s="68" t="s">
        <v>60</v>
      </c>
      <c r="I29" s="68"/>
      <c r="J29" s="68"/>
      <c r="K29" s="68"/>
      <c r="L29" s="68"/>
      <c r="M29" s="68"/>
      <c r="P29" s="68" t="s">
        <v>61</v>
      </c>
      <c r="Q29" s="68"/>
      <c r="R29" s="68"/>
      <c r="S29" s="68"/>
      <c r="T29" s="68"/>
      <c r="U29" s="69"/>
      <c r="V29" s="30"/>
      <c r="Y29" s="68" t="s">
        <v>62</v>
      </c>
      <c r="Z29" s="68"/>
      <c r="AA29" s="68"/>
      <c r="AB29" s="68"/>
      <c r="AC29" s="68"/>
      <c r="AD29" s="68"/>
      <c r="AE29" s="68"/>
      <c r="AF29" s="68"/>
    </row>
    <row r="30" spans="1:32" ht="18">
      <c r="A30" s="38"/>
      <c r="B30" s="163" t="s">
        <v>254</v>
      </c>
      <c r="C30" s="138" t="str">
        <f>_xlfn.IFERROR(INDEX(C19:C26,MATCH(1,I19:I26,0)),"")</f>
        <v>Pontoise F</v>
      </c>
      <c r="D30" s="139">
        <f>IF('Terrain 2'!$G53="","",'Terrain 2'!$G53)</f>
        <v>8</v>
      </c>
      <c r="E30" s="39"/>
      <c r="F30" s="40"/>
      <c r="G30" s="163" t="s">
        <v>257</v>
      </c>
      <c r="H30" s="283" t="str">
        <f>_xlfn.IFERROR(INDEX(C19:C26,MATCH(4,I19:I26,0)),"")</f>
        <v>HOPE F</v>
      </c>
      <c r="I30" s="283"/>
      <c r="J30" s="283"/>
      <c r="K30" s="283"/>
      <c r="L30" s="283"/>
      <c r="M30" s="139">
        <f>IF('Terrain 2'!$G54="","",'Terrain 2'!$G54)</f>
        <v>2</v>
      </c>
      <c r="N30" s="38"/>
      <c r="O30" s="163" t="s">
        <v>256</v>
      </c>
      <c r="P30" s="283" t="str">
        <f>_xlfn.IFERROR(INDEX(C19:C26,MATCH(3,I19:I26,0)),"")</f>
        <v>Le Chesnay F</v>
      </c>
      <c r="Q30" s="283"/>
      <c r="R30" s="283"/>
      <c r="S30" s="283"/>
      <c r="T30" s="283"/>
      <c r="U30" s="139">
        <f>IF('Terrain 2'!$G55="","",'Terrain 2'!$G55)</f>
        <v>6</v>
      </c>
      <c r="V30" s="40"/>
      <c r="W30" s="39"/>
      <c r="X30" s="163" t="s">
        <v>255</v>
      </c>
      <c r="Y30" s="283" t="str">
        <f>_xlfn.IFERROR(INDEX(C19:C26,MATCH(2,I19:I26,0)),"")</f>
        <v>Rennes F</v>
      </c>
      <c r="Z30" s="283"/>
      <c r="AA30" s="283"/>
      <c r="AB30" s="283"/>
      <c r="AC30" s="283"/>
      <c r="AD30" s="139">
        <f>IF('Terrain 2'!$G56="","",'Terrain 2'!$G56)</f>
        <v>7</v>
      </c>
      <c r="AE30" s="68"/>
      <c r="AF30" s="68"/>
    </row>
    <row r="31" spans="1:32" ht="18.75" thickBot="1">
      <c r="A31" s="38"/>
      <c r="B31" s="164" t="s">
        <v>261</v>
      </c>
      <c r="C31" s="141" t="str">
        <f>_xlfn.IFERROR(INDEX(C19:C26,MATCH(8,I19:I26,0)),"")</f>
        <v>Dinan F</v>
      </c>
      <c r="D31" s="142">
        <f>IF('Terrain 2'!$H53="","",'Terrain 2'!$H53)</f>
        <v>0</v>
      </c>
      <c r="E31" s="39"/>
      <c r="F31" s="40"/>
      <c r="G31" s="164" t="s">
        <v>258</v>
      </c>
      <c r="H31" s="288" t="str">
        <f>_xlfn.IFERROR(INDEX(C19:C26,MATCH(5,I19:I26,0)),"")</f>
        <v>Hyères F</v>
      </c>
      <c r="I31" s="288"/>
      <c r="J31" s="288"/>
      <c r="K31" s="288"/>
      <c r="L31" s="288"/>
      <c r="M31" s="142">
        <f>IF('Terrain 2'!$H54="","",'Terrain 2'!$H54)</f>
        <v>3</v>
      </c>
      <c r="N31" s="38"/>
      <c r="O31" s="164" t="s">
        <v>259</v>
      </c>
      <c r="P31" s="288" t="str">
        <f>_xlfn.IFERROR(INDEX(C19:C26,MATCH(6,I19:I26,0)),"")</f>
        <v>Moirans F</v>
      </c>
      <c r="Q31" s="288"/>
      <c r="R31" s="288"/>
      <c r="S31" s="288"/>
      <c r="T31" s="288"/>
      <c r="U31" s="142">
        <f>IF('Terrain 2'!$H55="","",'Terrain 2'!$H55)</f>
        <v>1</v>
      </c>
      <c r="V31" s="40"/>
      <c r="W31" s="39"/>
      <c r="X31" s="164" t="s">
        <v>260</v>
      </c>
      <c r="Y31" s="288" t="str">
        <f>_xlfn.IFERROR(INDEX(C19:C26,MATCH(7,I19:I26,0)),"")</f>
        <v>Fontenay F</v>
      </c>
      <c r="Z31" s="288"/>
      <c r="AA31" s="288"/>
      <c r="AB31" s="288"/>
      <c r="AC31" s="288"/>
      <c r="AD31" s="142">
        <f>IF('Terrain 2'!$H56="","",'Terrain 2'!$H56)</f>
        <v>0</v>
      </c>
      <c r="AE31" s="68"/>
      <c r="AF31" s="68"/>
    </row>
    <row r="32" spans="1:32" ht="18">
      <c r="A32" s="41"/>
      <c r="B32" s="42"/>
      <c r="C32" s="72"/>
      <c r="D32" s="72"/>
      <c r="E32" s="41"/>
      <c r="F32" s="43"/>
      <c r="G32" s="43"/>
      <c r="H32" s="72"/>
      <c r="I32" s="72"/>
      <c r="J32" s="72"/>
      <c r="K32" s="72"/>
      <c r="L32" s="72"/>
      <c r="M32" s="72"/>
      <c r="N32" s="44"/>
      <c r="O32" s="41"/>
      <c r="P32" s="72"/>
      <c r="Q32" s="72"/>
      <c r="R32" s="72"/>
      <c r="S32" s="72"/>
      <c r="T32" s="72"/>
      <c r="U32" s="72"/>
      <c r="V32" s="41"/>
      <c r="W32" s="41"/>
      <c r="X32" s="41"/>
      <c r="Y32" s="72"/>
      <c r="Z32" s="72"/>
      <c r="AA32" s="72"/>
      <c r="AB32" s="72"/>
      <c r="AC32" s="72"/>
      <c r="AD32" s="72"/>
      <c r="AE32" s="68"/>
      <c r="AF32" s="68"/>
    </row>
    <row r="33" spans="1:32" ht="18.75" thickBot="1">
      <c r="A33" s="41"/>
      <c r="B33" s="41"/>
      <c r="C33" s="72" t="s">
        <v>144</v>
      </c>
      <c r="D33" s="72"/>
      <c r="E33" s="43"/>
      <c r="F33" s="41"/>
      <c r="G33" s="41"/>
      <c r="H33" s="72" t="s">
        <v>153</v>
      </c>
      <c r="I33" s="72"/>
      <c r="J33" s="72"/>
      <c r="K33" s="72"/>
      <c r="L33" s="72"/>
      <c r="M33" s="72"/>
      <c r="N33" s="41"/>
      <c r="O33" s="41"/>
      <c r="P33" s="72" t="s">
        <v>154</v>
      </c>
      <c r="Q33" s="72"/>
      <c r="R33" s="72"/>
      <c r="S33" s="72"/>
      <c r="T33" s="72"/>
      <c r="U33" s="74"/>
      <c r="V33" s="42"/>
      <c r="W33" s="41"/>
      <c r="X33" s="41"/>
      <c r="Y33" s="72" t="s">
        <v>155</v>
      </c>
      <c r="Z33" s="72"/>
      <c r="AA33" s="72"/>
      <c r="AB33" s="72"/>
      <c r="AC33" s="72"/>
      <c r="AD33" s="72"/>
      <c r="AE33" s="68"/>
      <c r="AF33" s="68"/>
    </row>
    <row r="34" spans="1:32" s="38" customFormat="1" ht="18">
      <c r="A34" s="45"/>
      <c r="B34" s="165" t="s">
        <v>70</v>
      </c>
      <c r="C34" s="138" t="str">
        <f>Perdant(H30:M31)</f>
        <v>HOPE F</v>
      </c>
      <c r="D34" s="139">
        <f>IF('Terrain 2'!$H64="","",'Terrain 2'!$H64)</f>
        <v>3</v>
      </c>
      <c r="E34" s="46"/>
      <c r="F34" s="47"/>
      <c r="G34" s="165" t="s">
        <v>72</v>
      </c>
      <c r="H34" s="283" t="str">
        <f>Perdant(Y30:AD31)</f>
        <v>Fontenay F</v>
      </c>
      <c r="I34" s="283">
        <f>IF(J30="","",IF(J30&lt;J31,I30,I31))</f>
      </c>
      <c r="J34" s="283">
        <f>IF(K30="","",IF(K30&lt;K31,J30,J31))</f>
      </c>
      <c r="K34" s="283">
        <f>IF(L30="","",IF(L30&lt;L31,K30,K31))</f>
      </c>
      <c r="L34" s="283">
        <f>IF(M30="","",IF(M30&lt;M31,L30,L31))</f>
        <v>0</v>
      </c>
      <c r="M34" s="139">
        <f>IF('Terrain 2'!$H65="","",'Terrain 2'!$H65)</f>
        <v>2</v>
      </c>
      <c r="N34" s="45"/>
      <c r="O34" s="165" t="s">
        <v>74</v>
      </c>
      <c r="P34" s="283" t="str">
        <f>Gagnant(H30:M31)</f>
        <v>Hyères F</v>
      </c>
      <c r="Q34" s="283"/>
      <c r="R34" s="283"/>
      <c r="S34" s="283"/>
      <c r="T34" s="283"/>
      <c r="U34" s="139">
        <f>IF('Terrain 2'!$H66="","",'Terrain 2'!$H66)</f>
        <v>0</v>
      </c>
      <c r="V34" s="47"/>
      <c r="W34" s="46"/>
      <c r="X34" s="165" t="s">
        <v>77</v>
      </c>
      <c r="Y34" s="283" t="str">
        <f>Gagnant(Y30:AD31)</f>
        <v>Rennes F</v>
      </c>
      <c r="Z34" s="283"/>
      <c r="AA34" s="283"/>
      <c r="AB34" s="283"/>
      <c r="AC34" s="283"/>
      <c r="AD34" s="139">
        <f>IF('Terrain 2'!$H67="","",'Terrain 2'!$H67)</f>
        <v>3</v>
      </c>
      <c r="AE34" s="68"/>
      <c r="AF34" s="68"/>
    </row>
    <row r="35" spans="1:32" s="38" customFormat="1" ht="18.75" thickBot="1">
      <c r="A35" s="45"/>
      <c r="B35" s="166" t="s">
        <v>71</v>
      </c>
      <c r="C35" s="141" t="str">
        <f>Perdant(C30:D31)</f>
        <v>Dinan F</v>
      </c>
      <c r="D35" s="142">
        <f>IF('Terrain 2'!$G64="","",'Terrain 2'!$G64)</f>
        <v>2</v>
      </c>
      <c r="E35" s="46"/>
      <c r="F35" s="47"/>
      <c r="G35" s="166" t="s">
        <v>73</v>
      </c>
      <c r="H35" s="288" t="str">
        <f>Perdant(P30:U31)</f>
        <v>Moirans F</v>
      </c>
      <c r="I35" s="288">
        <f>IF(S30="","",IF(S30&lt;S31,N30,N31))</f>
      </c>
      <c r="J35" s="288">
        <f>IF(T30="","",IF(T30&lt;T31,O30,O31))</f>
      </c>
      <c r="K35" s="288" t="str">
        <f>IF(U30="","",IF(U30&lt;U31,P30,P31))</f>
        <v>Moirans F</v>
      </c>
      <c r="L35" s="288">
        <f>IF(V30="","",IF(V30&lt;V31,Q30,Q31))</f>
      </c>
      <c r="M35" s="142">
        <f>IF('Terrain 2'!$G65="","",'Terrain 2'!$G65)</f>
        <v>1</v>
      </c>
      <c r="N35" s="45"/>
      <c r="O35" s="166" t="s">
        <v>75</v>
      </c>
      <c r="P35" s="288" t="str">
        <f>Gagnant(C30:D31)</f>
        <v>Pontoise F</v>
      </c>
      <c r="Q35" s="288"/>
      <c r="R35" s="288"/>
      <c r="S35" s="288"/>
      <c r="T35" s="288"/>
      <c r="U35" s="142">
        <f>IF('Terrain 2'!$G66="","",'Terrain 2'!$G66)</f>
        <v>4</v>
      </c>
      <c r="V35" s="47"/>
      <c r="W35" s="46"/>
      <c r="X35" s="166" t="s">
        <v>78</v>
      </c>
      <c r="Y35" s="288" t="str">
        <f>Gagnant(P30:U31)</f>
        <v>Le Chesnay F</v>
      </c>
      <c r="Z35" s="288"/>
      <c r="AA35" s="288"/>
      <c r="AB35" s="288"/>
      <c r="AC35" s="288"/>
      <c r="AD35" s="142">
        <f>IF('Terrain 2'!$G67="","",'Terrain 2'!$G67)</f>
        <v>2</v>
      </c>
      <c r="AE35" s="68"/>
      <c r="AF35" s="68"/>
    </row>
    <row r="36" spans="1:32" ht="18">
      <c r="A36" s="41"/>
      <c r="B36" s="42"/>
      <c r="C36" s="72"/>
      <c r="D36" s="72"/>
      <c r="E36" s="41"/>
      <c r="F36" s="43"/>
      <c r="G36" s="43"/>
      <c r="H36" s="72"/>
      <c r="I36" s="72"/>
      <c r="J36" s="72"/>
      <c r="K36" s="72"/>
      <c r="L36" s="72"/>
      <c r="M36" s="72"/>
      <c r="N36" s="44"/>
      <c r="O36" s="41"/>
      <c r="P36" s="72"/>
      <c r="Q36" s="72"/>
      <c r="R36" s="72"/>
      <c r="S36" s="72"/>
      <c r="T36" s="72"/>
      <c r="U36" s="72"/>
      <c r="V36" s="41"/>
      <c r="W36" s="41"/>
      <c r="X36" s="41"/>
      <c r="Y36" s="72"/>
      <c r="Z36" s="72"/>
      <c r="AA36" s="72"/>
      <c r="AB36" s="72"/>
      <c r="AC36" s="72"/>
      <c r="AD36" s="72"/>
      <c r="AE36" s="68"/>
      <c r="AF36" s="68"/>
    </row>
    <row r="37" spans="1:32" ht="18.75" thickBot="1">
      <c r="A37" s="41"/>
      <c r="B37" s="41"/>
      <c r="C37" s="72" t="s">
        <v>65</v>
      </c>
      <c r="D37" s="41"/>
      <c r="E37" s="43"/>
      <c r="F37" s="41"/>
      <c r="G37" s="41"/>
      <c r="H37" s="72" t="s">
        <v>66</v>
      </c>
      <c r="I37" s="72"/>
      <c r="J37" s="72"/>
      <c r="M37" s="41"/>
      <c r="N37" s="41"/>
      <c r="O37" s="41"/>
      <c r="P37" s="72" t="s">
        <v>69</v>
      </c>
      <c r="Q37" s="72"/>
      <c r="R37" s="72"/>
      <c r="U37" s="41"/>
      <c r="V37" s="42"/>
      <c r="W37" s="41"/>
      <c r="X37" s="41"/>
      <c r="Y37" s="72" t="s">
        <v>116</v>
      </c>
      <c r="Z37" s="72"/>
      <c r="AA37" s="72"/>
      <c r="AB37" s="72"/>
      <c r="AD37" s="41"/>
      <c r="AE37" s="68"/>
      <c r="AF37" s="68"/>
    </row>
    <row r="38" spans="1:32" s="38" customFormat="1" ht="18">
      <c r="A38" s="45"/>
      <c r="B38" s="167" t="s">
        <v>156</v>
      </c>
      <c r="C38" s="146" t="str">
        <f>Perdant(C34:D35)</f>
        <v>Dinan F</v>
      </c>
      <c r="D38" s="147">
        <f>IF('Terrain 2'!$H71="","",'Terrain 2'!$H71)</f>
        <v>0</v>
      </c>
      <c r="E38" s="46"/>
      <c r="F38" s="47"/>
      <c r="G38" s="167" t="s">
        <v>158</v>
      </c>
      <c r="H38" s="292" t="str">
        <f>Gagnant(C34:D35)</f>
        <v>HOPE F</v>
      </c>
      <c r="I38" s="292"/>
      <c r="J38" s="292"/>
      <c r="K38" s="292"/>
      <c r="L38" s="292"/>
      <c r="M38" s="147">
        <f>IF('Terrain 2'!$H73="","",'Terrain 2'!$H73)</f>
        <v>5</v>
      </c>
      <c r="N38" s="45"/>
      <c r="O38" s="167" t="s">
        <v>160</v>
      </c>
      <c r="P38" s="292" t="str">
        <f>Perdant(P34:U35)</f>
        <v>Hyères F</v>
      </c>
      <c r="Q38" s="292">
        <f>IF(J34="","",IF(J34&lt;J35,I34,I35))</f>
      </c>
      <c r="R38" s="292">
        <f>IF(K34="","",IF(K34&lt;K35,J34,J35))</f>
      </c>
      <c r="S38" s="292">
        <f>IF(L34="","",IF(L34&lt;L35,K34,K35))</f>
      </c>
      <c r="T38" s="292">
        <f>IF(M34="","",IF(M34&lt;M35,L34,L35))</f>
      </c>
      <c r="U38" s="147">
        <f>IF('Terrain 2'!$H76="","",'Terrain 2'!$H76)</f>
        <v>1</v>
      </c>
      <c r="V38" s="47"/>
      <c r="W38" s="46"/>
      <c r="X38" s="167" t="s">
        <v>162</v>
      </c>
      <c r="Y38" s="292" t="str">
        <f>Gagnant(P34:U35)</f>
        <v>Pontoise F</v>
      </c>
      <c r="Z38" s="292"/>
      <c r="AA38" s="292"/>
      <c r="AB38" s="292"/>
      <c r="AC38" s="292"/>
      <c r="AD38" s="147">
        <f>IF('Terrain 2'!$H74="","",'Terrain 2'!$H74)</f>
        <v>4</v>
      </c>
      <c r="AE38" s="68"/>
      <c r="AF38" s="68"/>
    </row>
    <row r="39" spans="1:32" s="38" customFormat="1" ht="18.75" thickBot="1">
      <c r="A39" s="45"/>
      <c r="B39" s="168" t="s">
        <v>157</v>
      </c>
      <c r="C39" s="149" t="str">
        <f>Perdant(H34:M35)</f>
        <v>Moirans F</v>
      </c>
      <c r="D39" s="150">
        <f>IF('Terrain 2'!$G71="","",'Terrain 2'!$G71)</f>
        <v>5</v>
      </c>
      <c r="E39" s="46"/>
      <c r="F39" s="47"/>
      <c r="G39" s="168" t="s">
        <v>159</v>
      </c>
      <c r="H39" s="287" t="str">
        <f>Gagnant(H34:M35)</f>
        <v>Fontenay F</v>
      </c>
      <c r="I39" s="287"/>
      <c r="J39" s="287"/>
      <c r="K39" s="287"/>
      <c r="L39" s="287"/>
      <c r="M39" s="150">
        <f>IF('Terrain 2'!$G73="","",'Terrain 2'!$G73)</f>
        <v>1</v>
      </c>
      <c r="N39" s="45"/>
      <c r="O39" s="168" t="s">
        <v>161</v>
      </c>
      <c r="P39" s="287" t="str">
        <f>Perdant(Y34:AD35)</f>
        <v>Le Chesnay F</v>
      </c>
      <c r="Q39" s="287">
        <f>IF(S34="","",IF(S34&lt;S35,N34,N35))</f>
      </c>
      <c r="R39" s="287">
        <f>IF(T34="","",IF(T34&lt;T35,O34,O35))</f>
      </c>
      <c r="S39" s="287" t="str">
        <f>IF(U34="","",IF(U34&lt;U35,P34,P35))</f>
        <v>Hyères F</v>
      </c>
      <c r="T39" s="287">
        <f>IF(V34="","",IF(V34&lt;V35,Q34,Q35))</f>
      </c>
      <c r="U39" s="150">
        <f>IF('Terrain 2'!$G76="","",'Terrain 2'!$G76)</f>
        <v>2</v>
      </c>
      <c r="V39" s="47"/>
      <c r="W39" s="46"/>
      <c r="X39" s="168" t="s">
        <v>163</v>
      </c>
      <c r="Y39" s="287" t="str">
        <f>Gagnant(Y34:AD35)</f>
        <v>Rennes F</v>
      </c>
      <c r="Z39" s="287"/>
      <c r="AA39" s="287"/>
      <c r="AB39" s="287"/>
      <c r="AC39" s="287"/>
      <c r="AD39" s="150">
        <f>IF('Terrain 2'!$G74="","",'Terrain 2'!$G74)</f>
        <v>0</v>
      </c>
      <c r="AE39" s="68"/>
      <c r="AF39" s="68"/>
    </row>
    <row r="40" spans="3:32" ht="21.75" thickBot="1">
      <c r="C40" s="86" t="s">
        <v>168</v>
      </c>
      <c r="I40" s="291" t="s">
        <v>169</v>
      </c>
      <c r="J40" s="291"/>
      <c r="K40" s="291"/>
      <c r="L40" s="291"/>
      <c r="M40" s="291"/>
      <c r="P40" s="68"/>
      <c r="Q40" s="68"/>
      <c r="R40" s="291" t="s">
        <v>84</v>
      </c>
      <c r="S40" s="291"/>
      <c r="T40" s="291"/>
      <c r="U40" s="291"/>
      <c r="V40" s="291"/>
      <c r="Y40" s="68"/>
      <c r="Z40" s="68"/>
      <c r="AA40" s="68"/>
      <c r="AB40" s="68"/>
      <c r="AC40" s="289" t="s">
        <v>83</v>
      </c>
      <c r="AD40" s="289"/>
      <c r="AE40" s="68"/>
      <c r="AF40" s="68"/>
    </row>
    <row r="41" spans="16:21" ht="18">
      <c r="P41" s="68"/>
      <c r="Q41" s="68"/>
      <c r="R41" s="68"/>
      <c r="S41" s="68"/>
      <c r="T41" s="68"/>
      <c r="U41" s="68"/>
    </row>
  </sheetData>
  <sheetProtection password="9485" sheet="1"/>
  <mergeCells count="45">
    <mergeCell ref="Y35:AC35"/>
    <mergeCell ref="D25:E25"/>
    <mergeCell ref="F25:G25"/>
    <mergeCell ref="H34:L34"/>
    <mergeCell ref="P34:T34"/>
    <mergeCell ref="H30:L30"/>
    <mergeCell ref="P30:T30"/>
    <mergeCell ref="Y31:AC31"/>
    <mergeCell ref="D26:E26"/>
    <mergeCell ref="F26:G26"/>
    <mergeCell ref="H38:L38"/>
    <mergeCell ref="P38:T38"/>
    <mergeCell ref="Y38:AC38"/>
    <mergeCell ref="AC40:AD40"/>
    <mergeCell ref="R40:V40"/>
    <mergeCell ref="I40:M40"/>
    <mergeCell ref="J2:K2"/>
    <mergeCell ref="M2:V2"/>
    <mergeCell ref="C3:H3"/>
    <mergeCell ref="M3:V3"/>
    <mergeCell ref="Y34:AC34"/>
    <mergeCell ref="H39:L39"/>
    <mergeCell ref="P39:T39"/>
    <mergeCell ref="Y39:AC39"/>
    <mergeCell ref="H35:L35"/>
    <mergeCell ref="P35:T35"/>
    <mergeCell ref="F23:G23"/>
    <mergeCell ref="D20:E20"/>
    <mergeCell ref="F20:G20"/>
    <mergeCell ref="B4:D4"/>
    <mergeCell ref="C2:H2"/>
    <mergeCell ref="D18:E18"/>
    <mergeCell ref="F18:G18"/>
    <mergeCell ref="D19:E19"/>
    <mergeCell ref="F19:G19"/>
    <mergeCell ref="H31:L31"/>
    <mergeCell ref="P31:T31"/>
    <mergeCell ref="Y30:AC30"/>
    <mergeCell ref="D21:E21"/>
    <mergeCell ref="F21:G21"/>
    <mergeCell ref="D24:E24"/>
    <mergeCell ref="F24:G24"/>
    <mergeCell ref="D22:E22"/>
    <mergeCell ref="F22:G22"/>
    <mergeCell ref="D23:E23"/>
  </mergeCells>
  <conditionalFormatting sqref="AF7:AF15 N6 H18:H26">
    <cfRule type="cellIs" priority="2" dxfId="2" operator="equal" stopIfTrue="1">
      <formula>0</formula>
    </cfRule>
  </conditionalFormatting>
  <conditionalFormatting sqref="P6:S6">
    <cfRule type="cellIs" priority="3" dxfId="1" operator="equal" stopIfTrue="1">
      <formula>0</formula>
    </cfRule>
  </conditionalFormatting>
  <conditionalFormatting sqref="AF8:AF15">
    <cfRule type="cellIs" priority="1" dxfId="0" operator="equal" stopIfTrue="1">
      <formula>0</formula>
    </cfRule>
  </conditionalFormatting>
  <printOptions/>
  <pageMargins left="0.35433070866141736" right="0.2755905511811024" top="0.5118110236220472" bottom="0.8661417322834646" header="0.2755905511811024" footer="0.5118110236220472"/>
  <pageSetup fitToHeight="1" fitToWidth="1" horizontalDpi="600" verticalDpi="600" orientation="landscape" paperSize="9" scale="63" r:id="rId2"/>
  <headerFooter alignWithMargins="0">
    <oddHeader xml:space="preserve">&amp;R&amp;"Arial,Gras"&amp;14   </oddHeader>
    <oddFooter>&amp;C&amp;"Arial,Gras"&amp;14&amp;A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1">
    <pageSetUpPr fitToPage="1"/>
  </sheetPr>
  <dimension ref="A1:G36"/>
  <sheetViews>
    <sheetView zoomScalePageLayoutView="0" workbookViewId="0" topLeftCell="A10">
      <selection activeCell="H30" sqref="H30"/>
    </sheetView>
  </sheetViews>
  <sheetFormatPr defaultColWidth="11.421875" defaultRowHeight="12.75"/>
  <cols>
    <col min="1" max="1" width="24.57421875" style="52" customWidth="1"/>
    <col min="2" max="2" width="30.28125" style="52" customWidth="1"/>
    <col min="3" max="3" width="11.57421875" style="52" customWidth="1"/>
    <col min="4" max="4" width="12.7109375" style="52" customWidth="1"/>
    <col min="5" max="5" width="4.8515625" style="52" customWidth="1"/>
    <col min="6" max="6" width="4.8515625" style="53" customWidth="1"/>
    <col min="7" max="16384" width="11.421875" style="9" customWidth="1"/>
  </cols>
  <sheetData>
    <row r="1" spans="1:6" s="48" customFormat="1" ht="9.75" customHeight="1">
      <c r="A1" s="29"/>
      <c r="B1" s="29"/>
      <c r="C1" s="29"/>
      <c r="D1" s="29"/>
      <c r="E1" s="29"/>
      <c r="F1" s="32"/>
    </row>
    <row r="2" spans="6:7" s="20" customFormat="1" ht="63" customHeight="1">
      <c r="F2" s="21"/>
      <c r="G2" s="21"/>
    </row>
    <row r="3" spans="1:4" s="20" customFormat="1" ht="25.5" customHeight="1">
      <c r="A3" s="22" t="s">
        <v>51</v>
      </c>
      <c r="B3" s="49" t="str">
        <f>saison</f>
        <v>2021-2022</v>
      </c>
      <c r="C3" s="50"/>
      <c r="D3" s="23"/>
    </row>
    <row r="4" spans="1:4" s="20" customFormat="1" ht="21" customHeight="1">
      <c r="A4" s="22" t="s">
        <v>53</v>
      </c>
      <c r="B4" s="49" t="str">
        <f>date</f>
        <v>4-5 et 6 Juin 2022</v>
      </c>
      <c r="C4" s="50"/>
      <c r="D4" s="23"/>
    </row>
    <row r="5" spans="1:6" s="48" customFormat="1" ht="15.75">
      <c r="A5" s="29"/>
      <c r="B5" s="29"/>
      <c r="C5" s="29"/>
      <c r="D5" s="29"/>
      <c r="E5" s="29"/>
      <c r="F5" s="32"/>
    </row>
    <row r="6" spans="1:3" s="48" customFormat="1" ht="18">
      <c r="A6" s="22" t="s">
        <v>52</v>
      </c>
      <c r="B6" s="49" t="str">
        <f>lieu</f>
        <v>Laval</v>
      </c>
      <c r="C6" s="51"/>
    </row>
    <row r="7" spans="1:3" s="48" customFormat="1" ht="18">
      <c r="A7" s="22" t="s">
        <v>54</v>
      </c>
      <c r="B7" s="49" t="str">
        <f>catégorie</f>
        <v>Division 1 Manche 3</v>
      </c>
      <c r="C7" s="50"/>
    </row>
    <row r="8" spans="1:6" ht="15.75">
      <c r="A8" s="41"/>
      <c r="B8" s="41"/>
      <c r="C8" s="41"/>
      <c r="D8" s="41"/>
      <c r="E8" s="41"/>
      <c r="F8" s="43"/>
    </row>
    <row r="9" ht="16.5" thickBot="1"/>
    <row r="10" spans="1:3" ht="21.75" customHeight="1">
      <c r="A10" s="58" t="s">
        <v>138</v>
      </c>
      <c r="B10" s="80" t="str">
        <f>Gagnant(Féminines!Y38:AD39)</f>
        <v>Pontoise F</v>
      </c>
      <c r="C10" s="81">
        <v>1</v>
      </c>
    </row>
    <row r="11" spans="2:3" ht="21.75" customHeight="1">
      <c r="B11" s="82" t="str">
        <f>Perdant(Féminines!Y38:AD39)</f>
        <v>Rennes F</v>
      </c>
      <c r="C11" s="83">
        <v>2</v>
      </c>
    </row>
    <row r="12" spans="2:3" ht="21.75" customHeight="1">
      <c r="B12" s="82" t="str">
        <f>Gagnant(Féminines!P38:U39)</f>
        <v>Le Chesnay F</v>
      </c>
      <c r="C12" s="83">
        <v>3</v>
      </c>
    </row>
    <row r="13" spans="2:3" ht="21.75" customHeight="1">
      <c r="B13" s="82" t="str">
        <f>Perdant(Féminines!P38:U39)</f>
        <v>Hyères F</v>
      </c>
      <c r="C13" s="83">
        <v>4</v>
      </c>
    </row>
    <row r="14" spans="2:3" ht="21.75" customHeight="1">
      <c r="B14" s="82" t="str">
        <f>Gagnant(Féminines!H38:M39)</f>
        <v>HOPE F</v>
      </c>
      <c r="C14" s="83">
        <v>5</v>
      </c>
    </row>
    <row r="15" spans="2:3" ht="21.75" customHeight="1">
      <c r="B15" s="82" t="str">
        <f>Perdant(Féminines!H38:M39)</f>
        <v>Fontenay F</v>
      </c>
      <c r="C15" s="83">
        <v>6</v>
      </c>
    </row>
    <row r="16" spans="2:3" ht="21.75" customHeight="1">
      <c r="B16" s="82" t="str">
        <f>Gagnant(Féminines!C38:D39)</f>
        <v>Moirans F</v>
      </c>
      <c r="C16" s="83">
        <v>7</v>
      </c>
    </row>
    <row r="17" spans="2:3" ht="21.75" customHeight="1" thickBot="1">
      <c r="B17" s="84" t="str">
        <f>Perdant(Féminines!C38:D39)</f>
        <v>Dinan F</v>
      </c>
      <c r="C17" s="85">
        <v>8</v>
      </c>
    </row>
    <row r="18" ht="16.5" thickBot="1"/>
    <row r="19" spans="1:4" ht="25.5" customHeight="1" thickTop="1">
      <c r="A19" s="58" t="s">
        <v>134</v>
      </c>
      <c r="B19" s="59" t="str">
        <f>Gagnant('Groupe A'!Y42:AD43)</f>
        <v>Rennes</v>
      </c>
      <c r="C19" s="54">
        <v>1</v>
      </c>
      <c r="D19" s="302" t="s">
        <v>135</v>
      </c>
    </row>
    <row r="20" spans="2:4" ht="25.5" customHeight="1">
      <c r="B20" s="60" t="str">
        <f>Perdant('Groupe A'!Y42:AD43)</f>
        <v>Dinan</v>
      </c>
      <c r="C20" s="55">
        <v>2</v>
      </c>
      <c r="D20" s="303"/>
    </row>
    <row r="21" spans="2:4" ht="25.5" customHeight="1">
      <c r="B21" s="60" t="str">
        <f>Gagnant('Groupe A'!P42:U43)</f>
        <v>Fontenay</v>
      </c>
      <c r="C21" s="55">
        <v>3</v>
      </c>
      <c r="D21" s="303"/>
    </row>
    <row r="22" spans="2:4" ht="25.5" customHeight="1">
      <c r="B22" s="60" t="str">
        <f>Perdant('Groupe A'!P42:U43)</f>
        <v>Pontoise</v>
      </c>
      <c r="C22" s="55">
        <v>4</v>
      </c>
      <c r="D22" s="303"/>
    </row>
    <row r="23" spans="2:4" ht="25.5" customHeight="1">
      <c r="B23" s="60" t="str">
        <f>Gagnant('Groupe A'!H42:M43)</f>
        <v>Moirans</v>
      </c>
      <c r="C23" s="55">
        <v>5</v>
      </c>
      <c r="D23" s="303"/>
    </row>
    <row r="24" spans="2:4" ht="25.5" customHeight="1">
      <c r="B24" s="60" t="str">
        <f>Perdant('Groupe A'!H42:M43)</f>
        <v>Franconville</v>
      </c>
      <c r="C24" s="55">
        <v>6</v>
      </c>
      <c r="D24" s="303"/>
    </row>
    <row r="25" spans="2:7" s="52" customFormat="1" ht="25.5" customHeight="1">
      <c r="B25" s="60" t="str">
        <f>Gagnant('Groupe A'!C42:D43)</f>
        <v>PESSAC</v>
      </c>
      <c r="C25" s="55">
        <v>7</v>
      </c>
      <c r="D25" s="303"/>
      <c r="F25" s="53"/>
      <c r="G25" s="9"/>
    </row>
    <row r="26" spans="2:7" s="52" customFormat="1" ht="25.5" customHeight="1" thickBot="1">
      <c r="B26" s="61" t="str">
        <f>Perdant('Groupe A'!C42:D43)</f>
        <v>Diderot XII</v>
      </c>
      <c r="C26" s="57">
        <v>8</v>
      </c>
      <c r="D26" s="303"/>
      <c r="F26" s="53"/>
      <c r="G26" s="9"/>
    </row>
    <row r="27" spans="2:4" ht="25.5" customHeight="1" thickBot="1" thickTop="1">
      <c r="B27" s="41"/>
      <c r="D27" s="303"/>
    </row>
    <row r="28" spans="1:4" ht="25.5" customHeight="1" thickTop="1">
      <c r="A28" s="58" t="s">
        <v>136</v>
      </c>
      <c r="B28" s="59" t="str">
        <f>Gagnant('Groupe B'!Y36:AD37)</f>
        <v>Clamart</v>
      </c>
      <c r="C28" s="54" t="s">
        <v>271</v>
      </c>
      <c r="D28" s="303"/>
    </row>
    <row r="29" spans="2:4" ht="25.5" customHeight="1" thickBot="1">
      <c r="B29" s="60" t="str">
        <f>Perdant('Groupe B'!Y36:AD37)</f>
        <v>Le Chesnay</v>
      </c>
      <c r="C29" s="55" t="s">
        <v>272</v>
      </c>
      <c r="D29" s="304"/>
    </row>
    <row r="30" spans="2:4" ht="25.5" customHeight="1">
      <c r="B30" s="76" t="str">
        <f>Gagnant('Groupe B'!P36:U37)</f>
        <v>Nantes</v>
      </c>
      <c r="C30" s="77" t="s">
        <v>273</v>
      </c>
      <c r="D30" s="305" t="s">
        <v>137</v>
      </c>
    </row>
    <row r="31" spans="2:4" ht="25.5" customHeight="1">
      <c r="B31" s="76" t="str">
        <f>Perdant('Groupe B'!P36:U37)</f>
        <v>Saintes</v>
      </c>
      <c r="C31" s="77" t="s">
        <v>274</v>
      </c>
      <c r="D31" s="306"/>
    </row>
    <row r="32" spans="2:4" ht="25.5" customHeight="1">
      <c r="B32" s="76" t="str">
        <f>Gagnant('Groupe B'!H36:M37)</f>
        <v>Le Puy en Velay</v>
      </c>
      <c r="C32" s="77" t="s">
        <v>275</v>
      </c>
      <c r="D32" s="306"/>
    </row>
    <row r="33" spans="2:4" ht="25.5" customHeight="1">
      <c r="B33" s="76" t="str">
        <f>Perdant('Groupe B'!H36:M37)</f>
        <v>HOPE</v>
      </c>
      <c r="C33" s="77" t="s">
        <v>276</v>
      </c>
      <c r="D33" s="306"/>
    </row>
    <row r="34" spans="2:4" ht="25.5" customHeight="1">
      <c r="B34" s="76" t="str">
        <f>Gagnant('Groupe B'!C36:D37)</f>
        <v>Morlaix</v>
      </c>
      <c r="C34" s="77" t="s">
        <v>277</v>
      </c>
      <c r="D34" s="306"/>
    </row>
    <row r="35" spans="2:4" ht="25.5" customHeight="1" thickBot="1">
      <c r="B35" s="78" t="str">
        <f>Perdant('Groupe B'!C36:D37)</f>
        <v>Clermont Ferrand</v>
      </c>
      <c r="C35" s="79" t="s">
        <v>278</v>
      </c>
      <c r="D35" s="307"/>
    </row>
    <row r="36" ht="16.5" thickTop="1">
      <c r="B36" s="41"/>
    </row>
  </sheetData>
  <sheetProtection password="9485" sheet="1"/>
  <mergeCells count="2">
    <mergeCell ref="D19:D29"/>
    <mergeCell ref="D30:D3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HP</cp:lastModifiedBy>
  <cp:lastPrinted>2022-06-06T10:36:26Z</cp:lastPrinted>
  <dcterms:created xsi:type="dcterms:W3CDTF">1997-11-08T13:41:57Z</dcterms:created>
  <dcterms:modified xsi:type="dcterms:W3CDTF">2022-06-13T17:23:19Z</dcterms:modified>
  <cp:category/>
  <cp:version/>
  <cp:contentType/>
  <cp:contentStatus/>
</cp:coreProperties>
</file>